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indymas/Library/Containers/com.microsoft.Excel/Data/Desktop/2:23:28 Finance mtg/"/>
    </mc:Choice>
  </mc:AlternateContent>
  <bookViews>
    <workbookView xWindow="700" yWindow="460" windowWidth="27980" windowHeight="15940" activeTab="3"/>
  </bookViews>
  <sheets>
    <sheet name="14-15" sheetId="1" r:id="rId1"/>
    <sheet name="15-16" sheetId="2" r:id="rId2"/>
    <sheet name="16-17" sheetId="3" r:id="rId3"/>
    <sheet name="17-18" sheetId="4" r:id="rId4"/>
  </sheets>
  <definedNames>
    <definedName name="_xlnm.Print_Area" localSheetId="0">'14-15'!$A$1:$V$51</definedName>
    <definedName name="_xlnm.Print_Area" localSheetId="1">'15-16'!$A$1:$V$45</definedName>
    <definedName name="_xlnm.Print_Area" localSheetId="2">'16-17'!$A$1:$U$45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4" l="1"/>
  <c r="J11" i="4"/>
  <c r="J10" i="4"/>
  <c r="H26" i="4"/>
  <c r="H25" i="4"/>
  <c r="H24" i="4"/>
  <c r="H23" i="4"/>
  <c r="H22" i="4"/>
  <c r="H21" i="4"/>
  <c r="H19" i="4"/>
  <c r="I11" i="4"/>
  <c r="I10" i="4"/>
  <c r="I9" i="4" s="1"/>
  <c r="I13" i="4" s="1"/>
  <c r="H11" i="4"/>
  <c r="H10" i="4"/>
  <c r="G11" i="4"/>
  <c r="G10" i="4"/>
  <c r="G9" i="4" s="1"/>
  <c r="G13" i="4" s="1"/>
  <c r="G26" i="4"/>
  <c r="G25" i="4"/>
  <c r="G24" i="4"/>
  <c r="G23" i="4"/>
  <c r="G22" i="4"/>
  <c r="G21" i="4"/>
  <c r="G19" i="4"/>
  <c r="F11" i="4"/>
  <c r="Q11" i="4" s="1"/>
  <c r="E11" i="4"/>
  <c r="K11" i="4"/>
  <c r="L11" i="4"/>
  <c r="M11" i="4"/>
  <c r="N11" i="4"/>
  <c r="F10" i="4"/>
  <c r="E10" i="4"/>
  <c r="O15" i="4"/>
  <c r="N15" i="4"/>
  <c r="M15" i="4"/>
  <c r="L15" i="4"/>
  <c r="K15" i="4"/>
  <c r="O12" i="4"/>
  <c r="O13" i="4" s="1"/>
  <c r="N12" i="4"/>
  <c r="M12" i="4"/>
  <c r="L12" i="4"/>
  <c r="K12" i="4"/>
  <c r="Q12" i="4"/>
  <c r="S12" i="4" s="1"/>
  <c r="T12" i="4" s="1"/>
  <c r="E9" i="4"/>
  <c r="E13" i="4"/>
  <c r="H9" i="4"/>
  <c r="H13" i="4"/>
  <c r="J9" i="4"/>
  <c r="J13" i="4"/>
  <c r="K10" i="4"/>
  <c r="K9" i="4"/>
  <c r="K13" i="4"/>
  <c r="L10" i="4"/>
  <c r="L9" i="4" s="1"/>
  <c r="L13" i="4" s="1"/>
  <c r="M10" i="4"/>
  <c r="M9" i="4"/>
  <c r="M13" i="4" s="1"/>
  <c r="N10" i="4"/>
  <c r="N9" i="4"/>
  <c r="N13" i="4"/>
  <c r="O10" i="4"/>
  <c r="R10" i="4"/>
  <c r="E45" i="4"/>
  <c r="F39" i="4"/>
  <c r="D39" i="4"/>
  <c r="O35" i="4"/>
  <c r="N35" i="4"/>
  <c r="S15" i="4"/>
  <c r="T15" i="4" s="1"/>
  <c r="R9" i="4"/>
  <c r="R13" i="4"/>
  <c r="P13" i="4"/>
  <c r="O9" i="4"/>
  <c r="D9" i="4"/>
  <c r="D13" i="4"/>
  <c r="J26" i="3"/>
  <c r="J25" i="3"/>
  <c r="J24" i="3"/>
  <c r="J23" i="3"/>
  <c r="J22" i="3"/>
  <c r="J21" i="3"/>
  <c r="J19" i="3"/>
  <c r="O11" i="3"/>
  <c r="O10" i="3"/>
  <c r="N10" i="3"/>
  <c r="N9" i="3"/>
  <c r="N13" i="3"/>
  <c r="M11" i="3"/>
  <c r="M10" i="3"/>
  <c r="M9" i="3"/>
  <c r="M13" i="3"/>
  <c r="I23" i="3"/>
  <c r="I26" i="3"/>
  <c r="I25" i="3"/>
  <c r="I24" i="3"/>
  <c r="I22" i="3"/>
  <c r="I21" i="3"/>
  <c r="I19" i="3"/>
  <c r="L11" i="3"/>
  <c r="L9" i="3" s="1"/>
  <c r="L13" i="3" s="1"/>
  <c r="L10" i="3"/>
  <c r="K10" i="3"/>
  <c r="F39" i="3"/>
  <c r="J11" i="3"/>
  <c r="J10" i="3"/>
  <c r="Q10" i="3" s="1"/>
  <c r="Q9" i="3" s="1"/>
  <c r="J9" i="3"/>
  <c r="J13" i="3" s="1"/>
  <c r="H21" i="3"/>
  <c r="H25" i="3"/>
  <c r="H26" i="3"/>
  <c r="H24" i="3"/>
  <c r="H23" i="3"/>
  <c r="H22" i="3"/>
  <c r="H19" i="3"/>
  <c r="I11" i="3"/>
  <c r="I10" i="3"/>
  <c r="I9" i="3"/>
  <c r="I13" i="3"/>
  <c r="H11" i="3"/>
  <c r="H10" i="3"/>
  <c r="G12" i="3"/>
  <c r="G11" i="3"/>
  <c r="G9" i="3" s="1"/>
  <c r="G13" i="3" s="1"/>
  <c r="G10" i="3"/>
  <c r="G21" i="3"/>
  <c r="G26" i="3"/>
  <c r="G25" i="3"/>
  <c r="G24" i="3"/>
  <c r="G23" i="3"/>
  <c r="G22" i="3"/>
  <c r="G19" i="3"/>
  <c r="F11" i="3"/>
  <c r="F10" i="3"/>
  <c r="F9" i="3"/>
  <c r="F13" i="3"/>
  <c r="E10" i="3"/>
  <c r="O31" i="3"/>
  <c r="O30" i="3"/>
  <c r="O35" i="3"/>
  <c r="D11" i="3"/>
  <c r="D9" i="3"/>
  <c r="D13" i="3"/>
  <c r="H9" i="3"/>
  <c r="H13" i="3" s="1"/>
  <c r="R10" i="3"/>
  <c r="E45" i="3"/>
  <c r="E39" i="3"/>
  <c r="D39" i="3"/>
  <c r="N35" i="3"/>
  <c r="S15" i="3"/>
  <c r="T15" i="3"/>
  <c r="P13" i="3"/>
  <c r="S12" i="3"/>
  <c r="T12" i="3"/>
  <c r="K9" i="3"/>
  <c r="K13" i="3" s="1"/>
  <c r="E9" i="3"/>
  <c r="E13" i="3" s="1"/>
  <c r="R9" i="3"/>
  <c r="R13" i="3"/>
  <c r="O9" i="3"/>
  <c r="O13" i="3" s="1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J19" i="2"/>
  <c r="J20" i="2"/>
  <c r="J21" i="2"/>
  <c r="J22" i="2"/>
  <c r="J23" i="2"/>
  <c r="J24" i="2"/>
  <c r="J25" i="2"/>
  <c r="J26" i="2"/>
  <c r="J10" i="2"/>
  <c r="J9" i="2" s="1"/>
  <c r="J13" i="2" s="1"/>
  <c r="G10" i="2"/>
  <c r="G9" i="2"/>
  <c r="G13" i="2" s="1"/>
  <c r="L10" i="2"/>
  <c r="K10" i="2"/>
  <c r="E39" i="2"/>
  <c r="D39" i="2"/>
  <c r="I10" i="2"/>
  <c r="I9" i="2"/>
  <c r="I13" i="2"/>
  <c r="H10" i="2"/>
  <c r="F10" i="2"/>
  <c r="F9" i="2"/>
  <c r="O9" i="2"/>
  <c r="O13" i="2" s="1"/>
  <c r="E10" i="2"/>
  <c r="E9" i="2"/>
  <c r="N9" i="2"/>
  <c r="N13" i="2" s="1"/>
  <c r="Q12" i="2"/>
  <c r="S12" i="2"/>
  <c r="T12" i="2"/>
  <c r="E45" i="2"/>
  <c r="O35" i="2"/>
  <c r="N35" i="2"/>
  <c r="R9" i="2"/>
  <c r="R13" i="2" s="1"/>
  <c r="S15" i="2"/>
  <c r="T15" i="2"/>
  <c r="D9" i="2"/>
  <c r="P13" i="2"/>
  <c r="J29" i="1"/>
  <c r="J28" i="1"/>
  <c r="J27" i="1"/>
  <c r="J26" i="1"/>
  <c r="J23" i="1"/>
  <c r="J25" i="1"/>
  <c r="J24" i="1"/>
  <c r="J22" i="1"/>
  <c r="D9" i="1"/>
  <c r="D13" i="1"/>
  <c r="D17" i="1"/>
  <c r="D18" i="1" s="1"/>
  <c r="E16" i="1"/>
  <c r="E9" i="1"/>
  <c r="E13" i="1"/>
  <c r="E17" i="1" s="1"/>
  <c r="E18" i="1" s="1"/>
  <c r="F16" i="1"/>
  <c r="F9" i="1"/>
  <c r="F13" i="1" s="1"/>
  <c r="F17" i="1" s="1"/>
  <c r="F18" i="1" s="1"/>
  <c r="G16" i="1"/>
  <c r="G18" i="1" s="1"/>
  <c r="G9" i="1"/>
  <c r="G13" i="1"/>
  <c r="G17" i="1"/>
  <c r="H16" i="1"/>
  <c r="H9" i="1"/>
  <c r="H13" i="1"/>
  <c r="H17" i="1"/>
  <c r="H18" i="1" s="1"/>
  <c r="I16" i="1"/>
  <c r="I9" i="1"/>
  <c r="I13" i="1"/>
  <c r="I17" i="1"/>
  <c r="I18" i="1" s="1"/>
  <c r="J16" i="1"/>
  <c r="J9" i="1"/>
  <c r="J13" i="1"/>
  <c r="J17" i="1" s="1"/>
  <c r="J18" i="1" s="1"/>
  <c r="K16" i="1"/>
  <c r="K9" i="1"/>
  <c r="K13" i="1" s="1"/>
  <c r="K17" i="1" s="1"/>
  <c r="K18" i="1" s="1"/>
  <c r="L16" i="1"/>
  <c r="L18" i="1" s="1"/>
  <c r="L9" i="1"/>
  <c r="L13" i="1"/>
  <c r="L17" i="1"/>
  <c r="M16" i="1"/>
  <c r="M10" i="1"/>
  <c r="M11" i="1"/>
  <c r="Q11" i="1" s="1"/>
  <c r="M9" i="1"/>
  <c r="M13" i="1" s="1"/>
  <c r="M17" i="1" s="1"/>
  <c r="M18" i="1" s="1"/>
  <c r="N16" i="1"/>
  <c r="N11" i="1"/>
  <c r="N9" i="1" s="1"/>
  <c r="N12" i="1"/>
  <c r="O9" i="1"/>
  <c r="O13" i="1"/>
  <c r="O17" i="1"/>
  <c r="Q16" i="1"/>
  <c r="S16" i="1" s="1"/>
  <c r="T16" i="1" s="1"/>
  <c r="Q12" i="1"/>
  <c r="R9" i="1"/>
  <c r="R13" i="1" s="1"/>
  <c r="R17" i="1" s="1"/>
  <c r="R19" i="1" s="1"/>
  <c r="R18" i="1" s="1"/>
  <c r="O38" i="1"/>
  <c r="N38" i="1"/>
  <c r="H24" i="1"/>
  <c r="I24" i="1"/>
  <c r="G24" i="1"/>
  <c r="E51" i="1"/>
  <c r="D41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3" i="1"/>
  <c r="H23" i="1"/>
  <c r="G23" i="1"/>
  <c r="I22" i="1"/>
  <c r="H22" i="1"/>
  <c r="G22" i="1"/>
  <c r="Q10" i="1"/>
  <c r="S12" i="1"/>
  <c r="T12" i="1"/>
  <c r="P13" i="1"/>
  <c r="Q11" i="2"/>
  <c r="L9" i="2"/>
  <c r="L13" i="2"/>
  <c r="H9" i="2"/>
  <c r="H13" i="2"/>
  <c r="M9" i="2"/>
  <c r="M13" i="2"/>
  <c r="K9" i="2"/>
  <c r="K13" i="2"/>
  <c r="D13" i="2"/>
  <c r="E13" i="2"/>
  <c r="F13" i="2"/>
  <c r="F9" i="4"/>
  <c r="F13" i="4"/>
  <c r="Q10" i="4"/>
  <c r="Q9" i="4" s="1"/>
  <c r="S9" i="3" l="1"/>
  <c r="Q13" i="3"/>
  <c r="Q9" i="1"/>
  <c r="N13" i="1"/>
  <c r="N17" i="1" s="1"/>
  <c r="N19" i="1" s="1"/>
  <c r="O16" i="1" s="1"/>
  <c r="O19" i="1" s="1"/>
  <c r="Q19" i="1" s="1"/>
  <c r="Q9" i="2"/>
  <c r="Q13" i="4"/>
  <c r="S9" i="4"/>
  <c r="Q10" i="2"/>
  <c r="S19" i="1" l="1"/>
  <c r="T19" i="1" s="1"/>
  <c r="T9" i="4"/>
  <c r="S13" i="4"/>
  <c r="T13" i="4" s="1"/>
  <c r="S9" i="1"/>
  <c r="Q13" i="1"/>
  <c r="Q17" i="1" s="1"/>
  <c r="S17" i="1" s="1"/>
  <c r="T17" i="1" s="1"/>
  <c r="S9" i="2"/>
  <c r="Q13" i="2"/>
  <c r="T9" i="3"/>
  <c r="S13" i="3"/>
  <c r="T13" i="3" s="1"/>
  <c r="S13" i="2" l="1"/>
  <c r="T13" i="2" s="1"/>
  <c r="T9" i="2"/>
  <c r="T9" i="1"/>
  <c r="S13" i="1"/>
  <c r="T13" i="1" s="1"/>
  <c r="Q18" i="1"/>
  <c r="S18" i="1" s="1"/>
  <c r="T18" i="1" s="1"/>
</calcChain>
</file>

<file path=xl/comments1.xml><?xml version="1.0" encoding="utf-8"?>
<comments xmlns="http://schemas.openxmlformats.org/spreadsheetml/2006/main">
  <authors>
    <author>Kristin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Fundraising revenue includes: Special Events; Tax Credit; Annual Fund; Scrip; Restricted Donations; Adol Trip Fund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Personnel expense includes: Salaries; Benefits; Stipends; Taxes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Facilities expense includes: Purchased Property Services; Insurance; Supplies</t>
        </r>
      </text>
    </comment>
  </commentList>
</comments>
</file>

<file path=xl/comments2.xml><?xml version="1.0" encoding="utf-8"?>
<comments xmlns="http://schemas.openxmlformats.org/spreadsheetml/2006/main">
  <authors>
    <author>Kristin</author>
  </authors>
  <commentList>
    <comment ref="E15" authorId="0" shapeId="0">
      <text>
        <r>
          <rPr>
            <b/>
            <sz val="9"/>
            <color rgb="FF000000"/>
            <rFont val="Tahoma"/>
            <family val="2"/>
          </rPr>
          <t>Kristin: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Ending cash plus net income/loss plus annual fund
</t>
        </r>
      </text>
    </comment>
    <comment ref="I15" authorId="0" shapeId="0">
      <text>
        <r>
          <rPr>
            <b/>
            <sz val="9"/>
            <color rgb="FF000000"/>
            <rFont val="Tahoma"/>
            <family val="2"/>
          </rPr>
          <t>Kristin: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Plus annual fund one time pmts by 12/31</t>
        </r>
      </text>
    </comment>
    <comment ref="K15" authorId="0" shapeId="0">
      <text>
        <r>
          <rPr>
            <b/>
            <sz val="9"/>
            <color rgb="FF000000"/>
            <rFont val="Tahoma"/>
            <family val="2"/>
          </rPr>
          <t>Kristin: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Plus cash received for student fees (1/2 received Feb &amp; 1/2 Mar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Plus matching gift annual fund cash received</t>
        </r>
      </text>
    </comment>
    <comment ref="N15" authorId="0" shapeId="0">
      <text>
        <r>
          <rPr>
            <b/>
            <sz val="9"/>
            <color rgb="FF000000"/>
            <rFont val="Tahoma"/>
            <family val="2"/>
          </rPr>
          <t>Kristin: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Less rev for FY16-17 annual fund - cash to be collected in FY16-17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Fundraising revenue includes: Special Events; Tax Credit; Annual Fund; Scrip; Restricted Donations; Adol Trip Fund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Personnel expense includes: Salaries; Benefits; Stipends; Taxes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Facilities expense includes: Purchased Property Services; Insurance; Supplies</t>
        </r>
      </text>
    </comment>
  </commentList>
</comments>
</file>

<file path=xl/comments3.xml><?xml version="1.0" encoding="utf-8"?>
<comments xmlns="http://schemas.openxmlformats.org/spreadsheetml/2006/main">
  <authors>
    <author>Kristin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Ending cash plus net income/loss plus annual fund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Plus annual fund one time pmts by 12/31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Plus cash received for student fees (1/2 received Feb &amp; 1/2 Mar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Plus matching gift annual fund cash received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Less rev for FY16-17 annual fund - cash to be collected in FY16-17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Less capital expenses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Fundraising revenue includes: Special Events; Tax Credit; Annual Fund; Scrip; Restricted Donations; Adol Trip Fund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Personnel expense includes: Salaries; Benefits; Stipends; Taxes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Kristin:</t>
        </r>
        <r>
          <rPr>
            <sz val="9"/>
            <color indexed="81"/>
            <rFont val="Tahoma"/>
            <family val="2"/>
          </rPr>
          <t xml:space="preserve">
Facilities expense includes: Purchased Property Services; Insurance; Supplies</t>
        </r>
      </text>
    </comment>
  </commentList>
</comments>
</file>

<file path=xl/sharedStrings.xml><?xml version="1.0" encoding="utf-8"?>
<sst xmlns="http://schemas.openxmlformats.org/spreadsheetml/2006/main" count="343" uniqueCount="116">
  <si>
    <t xml:space="preserve">  Current Ratio (Current Assets/Current Liabilities)</t>
  </si>
  <si>
    <t xml:space="preserve">  Leverage Ratio (Total Liabilities/Total Net Assets)</t>
  </si>
  <si>
    <t xml:space="preserve">  Reserves (Net Assets/Total Expenses)</t>
  </si>
  <si>
    <t xml:space="preserve">  Fundraising Revenue (Fundraising Revenue/Total Revenue)</t>
  </si>
  <si>
    <t xml:space="preserve">  Personnel Expenses (Personnel Expense/Total Expense)</t>
  </si>
  <si>
    <t xml:space="preserve">  Facilities Expense (Facilities Expense/Total Expense)</t>
  </si>
  <si>
    <t>Financial Ratios</t>
  </si>
  <si>
    <t>Measures:</t>
  </si>
  <si>
    <t>Targets</t>
  </si>
  <si>
    <t>&gt; 1.5</t>
  </si>
  <si>
    <t>&lt; 3</t>
  </si>
  <si>
    <t>30 Days</t>
  </si>
  <si>
    <t>&gt; 3-5%</t>
  </si>
  <si>
    <t>62-65%</t>
  </si>
  <si>
    <t>Category</t>
  </si>
  <si>
    <t>Budget</t>
  </si>
  <si>
    <t xml:space="preserve">   Revenue</t>
  </si>
  <si>
    <t xml:space="preserve">   Expense</t>
  </si>
  <si>
    <t>July</t>
  </si>
  <si>
    <t>April</t>
  </si>
  <si>
    <t>May</t>
  </si>
  <si>
    <t>June</t>
  </si>
  <si>
    <t>March</t>
  </si>
  <si>
    <t>Oct</t>
  </si>
  <si>
    <t>Aug</t>
  </si>
  <si>
    <t>Sept</t>
  </si>
  <si>
    <t>Nov</t>
  </si>
  <si>
    <t>Dec</t>
  </si>
  <si>
    <t>Jan</t>
  </si>
  <si>
    <t>Feb</t>
  </si>
  <si>
    <t>Variance</t>
  </si>
  <si>
    <t>Actual</t>
  </si>
  <si>
    <t>%</t>
  </si>
  <si>
    <t>Forecast versus Budget</t>
  </si>
  <si>
    <t>School Demographics</t>
  </si>
  <si>
    <t>Financial Performance</t>
  </si>
  <si>
    <t>#</t>
  </si>
  <si>
    <t>FTE Teachers</t>
  </si>
  <si>
    <t>New Hires</t>
  </si>
  <si>
    <t>Terminated</t>
  </si>
  <si>
    <t>Total Staff</t>
  </si>
  <si>
    <t>On Leave</t>
  </si>
  <si>
    <t xml:space="preserve">     State and Federal Funds</t>
  </si>
  <si>
    <t>Projected</t>
  </si>
  <si>
    <t>Net Income</t>
  </si>
  <si>
    <t>FY15 Q1</t>
  </si>
  <si>
    <t>FY15 Q4</t>
  </si>
  <si>
    <t>FY15 Q3</t>
  </si>
  <si>
    <t>FY15 Q2</t>
  </si>
  <si>
    <t>Adjustments to reconcile to cash</t>
  </si>
  <si>
    <t>Ending cash</t>
  </si>
  <si>
    <t>Cash</t>
  </si>
  <si>
    <t>Beginning cash</t>
  </si>
  <si>
    <t xml:space="preserve">  Profit Margin (Net Income/Total Revenue)</t>
  </si>
  <si>
    <t>Keystone Montessori Charter School, Inc.</t>
  </si>
  <si>
    <r>
      <t xml:space="preserve">    </t>
    </r>
    <r>
      <rPr>
        <i/>
        <sz val="10"/>
        <color theme="1"/>
        <rFont val="Arial"/>
        <family val="2"/>
      </rPr>
      <t xml:space="preserve"> Other revenue</t>
    </r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</si>
  <si>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</si>
  <si>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</si>
  <si>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</si>
  <si>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</si>
  <si>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</si>
  <si>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</si>
  <si>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</si>
  <si>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</si>
  <si>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</si>
  <si>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   Net Income (Loss)</t>
  </si>
  <si>
    <t>Net income (loss)</t>
  </si>
  <si>
    <t>Staffing (updated quarterly)</t>
  </si>
  <si>
    <t>Total Students at 100th Day</t>
  </si>
  <si>
    <t xml:space="preserve">  Cash Days on Hand (Cash/(Expenses/365))</t>
  </si>
  <si>
    <t>Enrollment Breakdown (Charter School)</t>
  </si>
  <si>
    <t>Half</t>
  </si>
  <si>
    <t>Full/Staff</t>
  </si>
  <si>
    <t>Extended</t>
  </si>
  <si>
    <t>Toddlers</t>
  </si>
  <si>
    <t>Children's House</t>
  </si>
  <si>
    <t>Enrollment Breakdown (Charter &amp; Montessori)</t>
  </si>
  <si>
    <t>Lower Elementary</t>
  </si>
  <si>
    <t>Upper Elementary</t>
  </si>
  <si>
    <t>Adolescents</t>
  </si>
  <si>
    <t>Total Population</t>
  </si>
  <si>
    <t xml:space="preserve">Administrators </t>
  </si>
  <si>
    <t>Other Staff</t>
  </si>
  <si>
    <t>Monthly Dashboard - Through June 2015</t>
  </si>
  <si>
    <t>FY16 Q1</t>
  </si>
  <si>
    <t>FY16 Q2</t>
  </si>
  <si>
    <t>FY16 Q3</t>
  </si>
  <si>
    <t>FY16 Q4</t>
  </si>
  <si>
    <t>Ending Cash</t>
  </si>
  <si>
    <t>Total Students</t>
  </si>
  <si>
    <t>5ht</t>
  </si>
  <si>
    <t>40th Day</t>
  </si>
  <si>
    <t>100th Day</t>
  </si>
  <si>
    <t>Monthly Dashboard - Through June 2016</t>
  </si>
  <si>
    <t>Estimated</t>
  </si>
  <si>
    <t xml:space="preserve">  Debt Service Coverage Covenant (calculated semi-annually)</t>
  </si>
  <si>
    <t>n/a</t>
  </si>
  <si>
    <t>&gt; 1.25</t>
  </si>
  <si>
    <t>FY17 Q1</t>
  </si>
  <si>
    <t>FY17 Q2</t>
  </si>
  <si>
    <t>FY17 Q3</t>
  </si>
  <si>
    <t>FY17 Q4</t>
  </si>
  <si>
    <t>Monthly Dashboard - Through June 2017</t>
  </si>
  <si>
    <t>FY18 Q1</t>
  </si>
  <si>
    <t>FY18 Q2</t>
  </si>
  <si>
    <t>FY18 Q3</t>
  </si>
  <si>
    <t>FY18 Q4</t>
  </si>
  <si>
    <r>
      <t xml:space="preserve">    </t>
    </r>
    <r>
      <rPr>
        <i/>
        <sz val="11"/>
        <color theme="1"/>
        <rFont val="Calibri"/>
        <family val="2"/>
        <scheme val="minor"/>
      </rPr>
      <t xml:space="preserve"> Other revenue</t>
    </r>
  </si>
  <si>
    <t>Forecasted</t>
  </si>
  <si>
    <t>**Cash Days on Hand (Cash/(Expenses/365))</t>
  </si>
  <si>
    <r>
      <rPr>
        <b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Debt Service Coverage Covenant (calculated semi-annually)</t>
    </r>
  </si>
  <si>
    <t>*</t>
  </si>
  <si>
    <t>**</t>
  </si>
  <si>
    <t>Financial performance indicator for bond</t>
  </si>
  <si>
    <t>Financial performance indicator for State Board for Charter Schools</t>
  </si>
  <si>
    <t>Monthly Dashboard - Through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</si>
</sst>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0.000"/>
  </numFmts>
  <fonts count="4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3" tint="-0.249977111117893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8"/>
      <color theme="3" tint="-0.249977111117893"/>
      <name val="Arial"/>
      <family val="2"/>
    </font>
    <font>
      <b/>
      <sz val="18"/>
      <color theme="3" tint="-0.249977111117893"/>
      <name val="Calibri"/>
      <family val="2"/>
      <scheme val="minor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 tint="-0.249977111117893"/>
      <name val="Arial"/>
      <family val="2"/>
    </font>
    <font>
      <b/>
      <sz val="18"/>
      <color theme="3" tint="-0.249977111117893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43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34">
    <xf numFmtId="0" fontId="0" fillId="0" borderId="0" xfId="0"/>
    <xf numFmtId="0" fontId="3" fillId="0" borderId="0" xfId="0" applyFont="1"/>
    <xf numFmtId="41" fontId="3" fillId="0" borderId="0" xfId="0" applyNumberFormat="1" applyFont="1"/>
    <xf numFmtId="0" fontId="1" fillId="2" borderId="0" xfId="0" applyFont="1" applyFill="1" applyAlignment="1">
      <alignment horizontal="center"/>
    </xf>
    <xf numFmtId="0" fontId="6" fillId="0" borderId="0" xfId="0" applyFont="1"/>
    <xf numFmtId="0" fontId="3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3" fontId="3" fillId="0" borderId="0" xfId="0" applyNumberFormat="1" applyFont="1"/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9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1" fontId="3" fillId="0" borderId="0" xfId="0" applyNumberFormat="1" applyFont="1" applyFill="1"/>
    <xf numFmtId="0" fontId="14" fillId="0" borderId="0" xfId="0" applyFont="1"/>
    <xf numFmtId="0" fontId="6" fillId="0" borderId="0" xfId="0" applyFont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8" fontId="0" fillId="0" borderId="0" xfId="0" applyNumberForma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center"/>
    </xf>
    <xf numFmtId="38" fontId="3" fillId="0" borderId="1" xfId="0" applyNumberFormat="1" applyFont="1" applyBorder="1" applyAlignment="1">
      <alignment horizontal="center"/>
    </xf>
    <xf numFmtId="3" fontId="3" fillId="4" borderId="0" xfId="0" applyNumberFormat="1" applyFont="1" applyFill="1"/>
    <xf numFmtId="38" fontId="3" fillId="0" borderId="0" xfId="0" applyNumberFormat="1" applyFont="1" applyFill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38" fontId="3" fillId="5" borderId="0" xfId="0" applyNumberFormat="1" applyFont="1" applyFill="1" applyAlignment="1">
      <alignment horizontal="center"/>
    </xf>
    <xf numFmtId="38" fontId="3" fillId="5" borderId="1" xfId="0" applyNumberFormat="1" applyFont="1" applyFill="1" applyBorder="1" applyAlignment="1">
      <alignment horizontal="center"/>
    </xf>
    <xf numFmtId="3" fontId="3" fillId="5" borderId="0" xfId="0" applyNumberFormat="1" applyFont="1" applyFill="1"/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38" fontId="3" fillId="0" borderId="0" xfId="0" applyNumberFormat="1" applyFont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0" fontId="3" fillId="0" borderId="2" xfId="0" applyNumberFormat="1" applyFont="1" applyBorder="1" applyAlignment="1">
      <alignment horizontal="center"/>
    </xf>
    <xf numFmtId="0" fontId="3" fillId="0" borderId="11" xfId="0" applyFont="1" applyFill="1" applyBorder="1"/>
    <xf numFmtId="41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2" xfId="0" applyFont="1" applyBorder="1"/>
    <xf numFmtId="9" fontId="0" fillId="0" borderId="0" xfId="12" applyFont="1" applyAlignment="1">
      <alignment horizontal="center"/>
    </xf>
    <xf numFmtId="2" fontId="3" fillId="0" borderId="2" xfId="0" applyNumberFormat="1" applyFont="1" applyBorder="1"/>
    <xf numFmtId="9" fontId="3" fillId="0" borderId="2" xfId="12" applyFont="1" applyBorder="1"/>
    <xf numFmtId="165" fontId="3" fillId="0" borderId="2" xfId="0" applyNumberFormat="1" applyFont="1" applyBorder="1" applyAlignment="1">
      <alignment horizontal="center"/>
    </xf>
    <xf numFmtId="9" fontId="3" fillId="0" borderId="0" xfId="12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20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164" fontId="17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3" fillId="0" borderId="2" xfId="0" applyNumberFormat="1" applyFont="1" applyFill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  <xf numFmtId="0" fontId="20" fillId="5" borderId="2" xfId="0" applyFont="1" applyFill="1" applyBorder="1"/>
    <xf numFmtId="0" fontId="3" fillId="0" borderId="12" xfId="0" applyFont="1" applyFill="1" applyBorder="1"/>
    <xf numFmtId="0" fontId="1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37" fontId="16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 horizontal="center"/>
    </xf>
    <xf numFmtId="4" fontId="3" fillId="0" borderId="7" xfId="0" applyNumberFormat="1" applyFont="1" applyBorder="1"/>
    <xf numFmtId="3" fontId="3" fillId="0" borderId="7" xfId="0" applyNumberFormat="1" applyFont="1" applyBorder="1"/>
    <xf numFmtId="9" fontId="3" fillId="0" borderId="7" xfId="0" applyNumberFormat="1" applyFont="1" applyBorder="1"/>
    <xf numFmtId="37" fontId="3" fillId="0" borderId="7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9" fontId="6" fillId="0" borderId="2" xfId="0" applyNumberFormat="1" applyFont="1" applyFill="1" applyBorder="1" applyAlignment="1">
      <alignment horizontal="center"/>
    </xf>
    <xf numFmtId="37" fontId="3" fillId="4" borderId="2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37" fontId="3" fillId="4" borderId="7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27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0" xfId="0" applyFont="1" applyFill="1"/>
    <xf numFmtId="0" fontId="34" fillId="2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41" fontId="34" fillId="0" borderId="0" xfId="0" applyNumberFormat="1" applyFont="1" applyAlignment="1">
      <alignment horizontal="center"/>
    </xf>
    <xf numFmtId="0" fontId="34" fillId="5" borderId="0" xfId="0" applyFont="1" applyFill="1" applyAlignment="1">
      <alignment horizontal="center"/>
    </xf>
    <xf numFmtId="0" fontId="27" fillId="2" borderId="0" xfId="0" applyFont="1" applyFill="1"/>
    <xf numFmtId="38" fontId="27" fillId="0" borderId="0" xfId="0" applyNumberFormat="1" applyFont="1" applyAlignment="1">
      <alignment horizontal="center"/>
    </xf>
    <xf numFmtId="38" fontId="36" fillId="0" borderId="0" xfId="0" applyNumberFormat="1" applyFont="1" applyAlignment="1">
      <alignment horizontal="center"/>
    </xf>
    <xf numFmtId="38" fontId="27" fillId="5" borderId="0" xfId="0" applyNumberFormat="1" applyFont="1" applyFill="1" applyAlignment="1">
      <alignment horizontal="center"/>
    </xf>
    <xf numFmtId="38" fontId="27" fillId="0" borderId="0" xfId="0" applyNumberFormat="1" applyFont="1" applyBorder="1" applyAlignment="1">
      <alignment horizontal="center"/>
    </xf>
    <xf numFmtId="37" fontId="27" fillId="0" borderId="0" xfId="0" applyNumberFormat="1" applyFont="1" applyAlignment="1">
      <alignment horizontal="center"/>
    </xf>
    <xf numFmtId="9" fontId="27" fillId="0" borderId="0" xfId="0" applyNumberFormat="1" applyFont="1" applyAlignment="1">
      <alignment horizontal="center"/>
    </xf>
    <xf numFmtId="0" fontId="37" fillId="0" borderId="0" xfId="0" applyFont="1"/>
    <xf numFmtId="38" fontId="27" fillId="0" borderId="0" xfId="0" applyNumberFormat="1" applyFont="1" applyFill="1" applyAlignment="1">
      <alignment horizontal="center"/>
    </xf>
    <xf numFmtId="38" fontId="27" fillId="0" borderId="1" xfId="0" applyNumberFormat="1" applyFont="1" applyBorder="1" applyAlignment="1">
      <alignment horizontal="center"/>
    </xf>
    <xf numFmtId="38" fontId="27" fillId="0" borderId="1" xfId="0" applyNumberFormat="1" applyFont="1" applyFill="1" applyBorder="1" applyAlignment="1">
      <alignment horizontal="center"/>
    </xf>
    <xf numFmtId="38" fontId="27" fillId="5" borderId="1" xfId="0" applyNumberFormat="1" applyFont="1" applyFill="1" applyBorder="1" applyAlignment="1">
      <alignment horizontal="center"/>
    </xf>
    <xf numFmtId="37" fontId="27" fillId="0" borderId="1" xfId="0" applyNumberFormat="1" applyFont="1" applyBorder="1" applyAlignment="1">
      <alignment horizontal="center"/>
    </xf>
    <xf numFmtId="9" fontId="27" fillId="0" borderId="1" xfId="0" applyNumberFormat="1" applyFont="1" applyBorder="1" applyAlignment="1">
      <alignment horizontal="center"/>
    </xf>
    <xf numFmtId="37" fontId="39" fillId="0" borderId="0" xfId="0" applyNumberFormat="1" applyFont="1" applyAlignment="1">
      <alignment horizontal="center"/>
    </xf>
    <xf numFmtId="9" fontId="27" fillId="0" borderId="0" xfId="12" applyFont="1" applyAlignment="1">
      <alignment horizontal="center"/>
    </xf>
    <xf numFmtId="3" fontId="27" fillId="0" borderId="0" xfId="0" applyNumberFormat="1" applyFont="1"/>
    <xf numFmtId="3" fontId="27" fillId="5" borderId="0" xfId="0" applyNumberFormat="1" applyFont="1" applyFill="1"/>
    <xf numFmtId="164" fontId="40" fillId="0" borderId="0" xfId="1" applyNumberFormat="1" applyFont="1" applyBorder="1" applyAlignment="1">
      <alignment horizontal="center"/>
    </xf>
    <xf numFmtId="164" fontId="27" fillId="0" borderId="0" xfId="1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9" fontId="27" fillId="0" borderId="0" xfId="0" applyNumberFormat="1" applyFont="1" applyBorder="1" applyAlignment="1">
      <alignment horizontal="center"/>
    </xf>
    <xf numFmtId="164" fontId="27" fillId="0" borderId="0" xfId="1" applyNumberFormat="1" applyFont="1" applyFill="1" applyAlignment="1">
      <alignment horizontal="center"/>
    </xf>
    <xf numFmtId="164" fontId="27" fillId="0" borderId="0" xfId="1" applyNumberFormat="1" applyFont="1" applyAlignment="1">
      <alignment horizontal="center"/>
    </xf>
    <xf numFmtId="37" fontId="27" fillId="0" borderId="0" xfId="0" applyNumberFormat="1" applyFont="1" applyFill="1" applyAlignment="1">
      <alignment horizontal="center"/>
    </xf>
    <xf numFmtId="0" fontId="34" fillId="0" borderId="0" xfId="0" applyFont="1"/>
    <xf numFmtId="0" fontId="34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40" fontId="27" fillId="0" borderId="2" xfId="0" applyNumberFormat="1" applyFont="1" applyBorder="1" applyAlignment="1">
      <alignment horizontal="center"/>
    </xf>
    <xf numFmtId="2" fontId="27" fillId="0" borderId="2" xfId="0" applyNumberFormat="1" applyFont="1" applyBorder="1"/>
    <xf numFmtId="4" fontId="27" fillId="0" borderId="7" xfId="0" applyNumberFormat="1" applyFont="1" applyBorder="1"/>
    <xf numFmtId="0" fontId="27" fillId="0" borderId="12" xfId="0" applyFont="1" applyBorder="1"/>
    <xf numFmtId="0" fontId="27" fillId="0" borderId="0" xfId="0" applyFont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Fill="1" applyBorder="1" applyAlignment="1">
      <alignment horizontal="center"/>
    </xf>
    <xf numFmtId="41" fontId="27" fillId="0" borderId="2" xfId="0" applyNumberFormat="1" applyFont="1" applyFill="1" applyBorder="1" applyAlignment="1">
      <alignment horizontal="center" vertical="center"/>
    </xf>
    <xf numFmtId="3" fontId="27" fillId="0" borderId="7" xfId="0" applyNumberFormat="1" applyFont="1" applyBorder="1"/>
    <xf numFmtId="16" fontId="27" fillId="0" borderId="0" xfId="0" applyNumberFormat="1" applyFont="1" applyAlignment="1">
      <alignment horizontal="center"/>
    </xf>
    <xf numFmtId="9" fontId="27" fillId="0" borderId="2" xfId="0" applyNumberFormat="1" applyFont="1" applyBorder="1" applyAlignment="1">
      <alignment horizontal="center"/>
    </xf>
    <xf numFmtId="9" fontId="27" fillId="0" borderId="2" xfId="12" applyFont="1" applyBorder="1"/>
    <xf numFmtId="9" fontId="27" fillId="0" borderId="7" xfId="0" applyNumberFormat="1" applyFont="1" applyBorder="1"/>
    <xf numFmtId="14" fontId="27" fillId="0" borderId="0" xfId="0" applyNumberFormat="1" applyFont="1" applyAlignment="1">
      <alignment horizontal="center"/>
    </xf>
    <xf numFmtId="9" fontId="36" fillId="0" borderId="0" xfId="12" applyFont="1" applyAlignment="1">
      <alignment horizontal="center"/>
    </xf>
    <xf numFmtId="0" fontId="42" fillId="2" borderId="0" xfId="0" applyFont="1" applyFill="1"/>
    <xf numFmtId="165" fontId="34" fillId="0" borderId="2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9" fontId="34" fillId="0" borderId="2" xfId="0" applyNumberFormat="1" applyFont="1" applyFill="1" applyBorder="1" applyAlignment="1">
      <alignment horizontal="center"/>
    </xf>
    <xf numFmtId="0" fontId="27" fillId="0" borderId="2" xfId="0" applyFont="1" applyFill="1" applyBorder="1"/>
    <xf numFmtId="9" fontId="27" fillId="0" borderId="2" xfId="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166" fontId="27" fillId="0" borderId="2" xfId="0" applyNumberFormat="1" applyFont="1" applyFill="1" applyBorder="1" applyAlignment="1">
      <alignment horizontal="center"/>
    </xf>
    <xf numFmtId="37" fontId="27" fillId="4" borderId="2" xfId="0" applyNumberFormat="1" applyFont="1" applyFill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7" fillId="4" borderId="2" xfId="0" applyNumberFormat="1" applyFont="1" applyFill="1" applyBorder="1" applyAlignment="1">
      <alignment horizontal="center"/>
    </xf>
    <xf numFmtId="37" fontId="27" fillId="4" borderId="7" xfId="0" applyNumberFormat="1" applyFont="1" applyFill="1" applyBorder="1" applyAlignment="1">
      <alignment horizontal="center"/>
    </xf>
    <xf numFmtId="0" fontId="43" fillId="5" borderId="2" xfId="0" applyFont="1" applyFill="1" applyBorder="1"/>
    <xf numFmtId="0" fontId="27" fillId="0" borderId="2" xfId="0" applyFont="1" applyBorder="1"/>
    <xf numFmtId="0" fontId="33" fillId="2" borderId="0" xfId="0" applyFont="1" applyFill="1" applyAlignment="1">
      <alignment horizontal="center"/>
    </xf>
    <xf numFmtId="0" fontId="27" fillId="0" borderId="12" xfId="0" applyFont="1" applyFill="1" applyBorder="1"/>
    <xf numFmtId="41" fontId="27" fillId="0" borderId="0" xfId="0" applyNumberFormat="1" applyFont="1" applyFill="1"/>
    <xf numFmtId="0" fontId="27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1" xfId="0" applyFont="1" applyFill="1" applyBorder="1"/>
    <xf numFmtId="41" fontId="27" fillId="0" borderId="1" xfId="0" applyNumberFormat="1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41" fontId="27" fillId="0" borderId="0" xfId="0" applyNumberFormat="1" applyFont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7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7" fontId="3" fillId="0" borderId="3" xfId="0" applyNumberFormat="1" applyFon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0" fontId="0" fillId="0" borderId="6" xfId="0" applyBorder="1" applyAlignment="1"/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37" fontId="3" fillId="0" borderId="3" xfId="0" applyNumberFormat="1" applyFont="1" applyFill="1" applyBorder="1" applyAlignment="1">
      <alignment horizontal="center"/>
    </xf>
    <xf numFmtId="37" fontId="0" fillId="0" borderId="5" xfId="0" applyNumberFormat="1" applyFill="1" applyBorder="1" applyAlignment="1">
      <alignment horizontal="center"/>
    </xf>
    <xf numFmtId="0" fontId="3" fillId="0" borderId="3" xfId="0" applyFont="1" applyBorder="1" applyAlignment="1"/>
    <xf numFmtId="0" fontId="6" fillId="0" borderId="0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right" wrapText="1"/>
    </xf>
    <xf numFmtId="0" fontId="6" fillId="0" borderId="7" xfId="0" applyFont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0" fillId="0" borderId="0" xfId="0" applyAlignment="1"/>
    <xf numFmtId="0" fontId="6" fillId="7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37" fontId="3" fillId="4" borderId="3" xfId="0" applyNumberFormat="1" applyFont="1" applyFill="1" applyBorder="1" applyAlignment="1">
      <alignment horizontal="center"/>
    </xf>
    <xf numFmtId="37" fontId="0" fillId="4" borderId="5" xfId="0" applyNumberForma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6" borderId="8" xfId="0" applyFont="1" applyFill="1" applyBorder="1" applyAlignment="1">
      <alignment horizontal="center"/>
    </xf>
    <xf numFmtId="0" fontId="30" fillId="6" borderId="9" xfId="0" applyFont="1" applyFill="1" applyBorder="1" applyAlignment="1">
      <alignment horizontal="center"/>
    </xf>
    <xf numFmtId="0" fontId="30" fillId="6" borderId="10" xfId="0" applyFont="1" applyFill="1" applyBorder="1" applyAlignment="1">
      <alignment horizontal="center"/>
    </xf>
    <xf numFmtId="0" fontId="32" fillId="2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41" fillId="2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7" borderId="0" xfId="0" applyFont="1" applyFill="1" applyBorder="1" applyAlignment="1" applyProtection="1">
      <alignment horizontal="center"/>
    </xf>
    <xf numFmtId="0" fontId="45" fillId="8" borderId="0" xfId="0" applyFont="1" applyFill="1" applyAlignment="1" applyProtection="1">
      <alignment horizontal="center"/>
    </xf>
    <xf numFmtId="0" fontId="6" fillId="0" borderId="0" xfId="0" applyFont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35" fillId="0" borderId="4" xfId="0" applyFont="1" applyBorder="1" applyAlignment="1">
      <alignment horizontal="right"/>
    </xf>
    <xf numFmtId="0" fontId="35" fillId="0" borderId="5" xfId="0" applyFont="1" applyBorder="1" applyAlignment="1">
      <alignment horizontal="right"/>
    </xf>
    <xf numFmtId="165" fontId="27" fillId="0" borderId="7" xfId="0" applyNumberFormat="1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37" fontId="27" fillId="4" borderId="3" xfId="0" applyNumberFormat="1" applyFont="1" applyFill="1" applyBorder="1" applyAlignment="1">
      <alignment horizontal="center"/>
    </xf>
    <xf numFmtId="37" fontId="36" fillId="4" borderId="5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27" fillId="0" borderId="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165" fontId="27" fillId="0" borderId="7" xfId="0" applyNumberFormat="1" applyFont="1" applyFill="1" applyBorder="1" applyAlignment="1">
      <alignment horizontal="center"/>
    </xf>
    <xf numFmtId="0" fontId="36" fillId="0" borderId="4" xfId="0" applyFont="1" applyBorder="1" applyAlignment="1"/>
    <xf numFmtId="0" fontId="36" fillId="0" borderId="5" xfId="0" applyFont="1" applyBorder="1" applyAlignment="1"/>
    <xf numFmtId="0" fontId="27" fillId="4" borderId="3" xfId="0" applyFont="1" applyFill="1" applyBorder="1" applyAlignment="1">
      <alignment horizontal="center"/>
    </xf>
    <xf numFmtId="0" fontId="36" fillId="4" borderId="5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9" fontId="27" fillId="0" borderId="7" xfId="0" applyNumberFormat="1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7" fillId="0" borderId="3" xfId="0" applyFont="1" applyBorder="1" applyAlignment="1"/>
    <xf numFmtId="0" fontId="41" fillId="2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7" fillId="0" borderId="7" xfId="0" applyFont="1" applyBorder="1"/>
    <xf numFmtId="0" fontId="27" fillId="0" borderId="4" xfId="0" applyFont="1" applyBorder="1"/>
    <xf numFmtId="0" fontId="27" fillId="0" borderId="6" xfId="0" applyFont="1" applyBorder="1"/>
    <xf numFmtId="0" fontId="27" fillId="0" borderId="2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27" fillId="0" borderId="0" xfId="0" applyFont="1" applyFill="1" applyBorder="1" applyAlignment="1">
      <alignment shrinkToFit="1"/>
    </xf>
    <xf numFmtId="0" fontId="36" fillId="0" borderId="0" xfId="0" applyFont="1" applyFill="1" applyBorder="1" applyAlignment="1">
      <alignment shrinkToFit="1"/>
    </xf>
    <xf numFmtId="0" fontId="44" fillId="0" borderId="0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shrinkToFit="1"/>
    </xf>
    <xf numFmtId="0" fontId="36" fillId="0" borderId="1" xfId="0" applyFont="1" applyFill="1" applyBorder="1" applyAlignment="1">
      <alignment shrinkToFit="1"/>
    </xf>
    <xf numFmtId="0" fontId="36" fillId="0" borderId="1" xfId="0" applyFont="1" applyFill="1" applyBorder="1" applyAlignment="1">
      <alignment horizontal="center" shrinkToFit="1"/>
    </xf>
  </cellXfs>
  <cellStyles count="19">
    <cellStyle name="Comma" xfId="1" builtinId="3"/>
    <cellStyle name="Comma 2" xfId="4"/>
    <cellStyle name="Comma 3" xfId="7"/>
    <cellStyle name="Currency 2" xfId="2"/>
    <cellStyle name="Currency 3" xfId="8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3"/>
    <cellStyle name="Normal 3" xfId="6"/>
    <cellStyle name="Percent" xfId="12" builtinId="5"/>
    <cellStyle name="Percent 2" xfId="5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zoomScale="80" zoomScaleNormal="80" zoomScalePageLayoutView="80" workbookViewId="0">
      <selection activeCell="Q17" sqref="Q17"/>
    </sheetView>
  </sheetViews>
  <sheetFormatPr baseColWidth="10" defaultColWidth="10.33203125" defaultRowHeight="13" outlineLevelRow="1" x14ac:dyDescent="0.15"/>
  <cols>
    <col min="1" max="1" width="1.1640625" style="1" customWidth="1"/>
    <col min="2" max="2" width="11.6640625" style="1" customWidth="1"/>
    <col min="3" max="3" width="16.33203125" style="1" customWidth="1"/>
    <col min="4" max="4" width="12.5" style="1" bestFit="1" customWidth="1"/>
    <col min="5" max="5" width="12.6640625" style="1" customWidth="1"/>
    <col min="6" max="7" width="11.5" style="1" bestFit="1" customWidth="1"/>
    <col min="8" max="8" width="11.5" style="2" bestFit="1" customWidth="1"/>
    <col min="9" max="9" width="9.5" style="1" bestFit="1" customWidth="1"/>
    <col min="10" max="10" width="11.5" style="1" bestFit="1" customWidth="1"/>
    <col min="11" max="11" width="11.5" style="1" customWidth="1"/>
    <col min="12" max="12" width="11.5" style="1" bestFit="1" customWidth="1"/>
    <col min="13" max="13" width="11.1640625" style="1" customWidth="1"/>
    <col min="14" max="14" width="12.5" style="1" customWidth="1"/>
    <col min="15" max="15" width="10.5" style="1" customWidth="1"/>
    <col min="16" max="16" width="1.1640625" style="1" customWidth="1"/>
    <col min="17" max="17" width="14.33203125" style="1" customWidth="1"/>
    <col min="18" max="18" width="10.6640625" style="1" customWidth="1"/>
    <col min="19" max="19" width="12" style="1" bestFit="1" customWidth="1"/>
    <col min="20" max="20" width="14.33203125" style="7" customWidth="1"/>
    <col min="21" max="21" width="9.6640625" style="1" customWidth="1"/>
    <col min="22" max="22" width="0.83203125" style="1" customWidth="1"/>
    <col min="23" max="25" width="10.33203125" style="22"/>
    <col min="26" max="16384" width="10.33203125" style="1"/>
  </cols>
  <sheetData>
    <row r="1" spans="1:25" ht="27.75" customHeight="1" x14ac:dyDescent="0.3">
      <c r="A1" s="237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5" ht="19.5" customHeight="1" x14ac:dyDescent="0.25">
      <c r="A2" s="239" t="s">
        <v>83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5" ht="25.5" customHeight="1" thickBot="1" x14ac:dyDescent="0.25">
      <c r="A3" s="2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8.75" customHeight="1" thickBot="1" x14ac:dyDescent="0.25">
      <c r="A4" s="245" t="s">
        <v>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</row>
    <row r="5" spans="1:25" s="22" customFormat="1" ht="2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5" ht="15" x14ac:dyDescent="0.2">
      <c r="A6" s="214" t="s">
        <v>33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</row>
    <row r="7" spans="1:25" s="29" customFormat="1" x14ac:dyDescent="0.15">
      <c r="A7" s="14"/>
      <c r="D7" s="29" t="s">
        <v>18</v>
      </c>
      <c r="E7" s="29" t="s">
        <v>24</v>
      </c>
      <c r="F7" s="12" t="s">
        <v>25</v>
      </c>
      <c r="G7" s="12" t="s">
        <v>23</v>
      </c>
      <c r="H7" s="29" t="s">
        <v>26</v>
      </c>
      <c r="I7" s="29" t="s">
        <v>27</v>
      </c>
      <c r="J7" s="29" t="s">
        <v>28</v>
      </c>
      <c r="K7" s="29" t="s">
        <v>29</v>
      </c>
      <c r="L7" s="29" t="s">
        <v>22</v>
      </c>
      <c r="M7" s="29" t="s">
        <v>19</v>
      </c>
      <c r="N7" s="29" t="s">
        <v>20</v>
      </c>
      <c r="O7" s="29" t="s">
        <v>21</v>
      </c>
      <c r="P7" s="40"/>
      <c r="Q7" s="29" t="s">
        <v>43</v>
      </c>
      <c r="R7" s="29" t="s">
        <v>15</v>
      </c>
      <c r="S7" s="29" t="s">
        <v>30</v>
      </c>
      <c r="T7" s="29" t="s">
        <v>32</v>
      </c>
      <c r="V7" s="14"/>
      <c r="W7" s="15"/>
      <c r="X7" s="15"/>
      <c r="Y7" s="15"/>
    </row>
    <row r="8" spans="1:25" s="29" customFormat="1" ht="13.5" customHeight="1" x14ac:dyDescent="0.2">
      <c r="A8" s="14"/>
      <c r="B8" s="242" t="s">
        <v>44</v>
      </c>
      <c r="C8" s="242"/>
      <c r="D8" s="260" t="s">
        <v>31</v>
      </c>
      <c r="E8" s="260"/>
      <c r="F8" s="260"/>
      <c r="G8" s="260"/>
      <c r="H8" s="260"/>
      <c r="I8" s="260"/>
      <c r="J8" s="260"/>
      <c r="K8" s="260"/>
      <c r="L8" s="260"/>
      <c r="M8" s="259"/>
      <c r="N8" s="259"/>
      <c r="O8" s="259"/>
      <c r="P8" s="40"/>
      <c r="V8" s="14"/>
      <c r="W8" s="15"/>
      <c r="X8" s="15"/>
      <c r="Y8" s="15"/>
    </row>
    <row r="9" spans="1:25" ht="15" x14ac:dyDescent="0.2">
      <c r="A9" s="5"/>
      <c r="B9" s="1" t="s">
        <v>16</v>
      </c>
      <c r="D9" s="33">
        <f>D10+D11</f>
        <v>185265</v>
      </c>
      <c r="E9" s="33">
        <f>E10+E11</f>
        <v>255377</v>
      </c>
      <c r="F9" s="33">
        <f>F10+F11</f>
        <v>228051</v>
      </c>
      <c r="G9" s="33">
        <f>G10+G11</f>
        <v>268931</v>
      </c>
      <c r="H9" s="33">
        <f>H10+H11</f>
        <v>339827</v>
      </c>
      <c r="I9" s="32">
        <f t="shared" ref="I9:O9" si="0">SUM(I10:I11)</f>
        <v>297595</v>
      </c>
      <c r="J9" s="33">
        <f t="shared" si="0"/>
        <v>247780</v>
      </c>
      <c r="K9" s="33">
        <f t="shared" si="0"/>
        <v>463023</v>
      </c>
      <c r="L9" s="33">
        <f t="shared" si="0"/>
        <v>255356</v>
      </c>
      <c r="M9" s="33">
        <f t="shared" si="0"/>
        <v>252669.63</v>
      </c>
      <c r="N9" s="33">
        <f t="shared" si="0"/>
        <v>245227</v>
      </c>
      <c r="O9" s="33">
        <f t="shared" si="0"/>
        <v>431442</v>
      </c>
      <c r="P9" s="41"/>
      <c r="Q9" s="48">
        <f>SUM(D9:O9)</f>
        <v>3470543.63</v>
      </c>
      <c r="R9" s="33">
        <f>R10+R11</f>
        <v>3512890</v>
      </c>
      <c r="S9" s="63">
        <f>Q9-R9</f>
        <v>-42346.370000000112</v>
      </c>
      <c r="T9" s="9">
        <f>S9/R9</f>
        <v>-1.2054567606728395E-2</v>
      </c>
      <c r="U9" s="13"/>
      <c r="V9" s="5"/>
    </row>
    <row r="10" spans="1:25" ht="15" customHeight="1" outlineLevel="1" x14ac:dyDescent="0.15">
      <c r="A10" s="5"/>
      <c r="B10" s="28" t="s">
        <v>42</v>
      </c>
      <c r="D10" s="33">
        <v>19</v>
      </c>
      <c r="E10" s="33">
        <v>134971</v>
      </c>
      <c r="F10" s="33">
        <v>129734</v>
      </c>
      <c r="G10" s="33">
        <v>135880</v>
      </c>
      <c r="H10" s="33">
        <v>120799</v>
      </c>
      <c r="I10" s="33">
        <v>144121</v>
      </c>
      <c r="J10" s="33">
        <v>132220</v>
      </c>
      <c r="K10" s="38">
        <v>137562</v>
      </c>
      <c r="L10" s="38">
        <v>135439</v>
      </c>
      <c r="M10" s="38">
        <f>125214.46+7674.59</f>
        <v>132889.05000000002</v>
      </c>
      <c r="N10" s="38">
        <v>132652</v>
      </c>
      <c r="O10" s="38">
        <v>309799</v>
      </c>
      <c r="P10" s="41"/>
      <c r="Q10" s="48">
        <f>SUM(D10:O10)</f>
        <v>1646085.05</v>
      </c>
      <c r="R10" s="33">
        <v>1597640</v>
      </c>
      <c r="S10" s="33"/>
      <c r="T10" s="9"/>
      <c r="U10" s="13"/>
      <c r="V10" s="5"/>
    </row>
    <row r="11" spans="1:25" ht="15" customHeight="1" outlineLevel="1" x14ac:dyDescent="0.15">
      <c r="A11" s="5"/>
      <c r="B11" s="1" t="s">
        <v>55</v>
      </c>
      <c r="D11" s="33">
        <v>185246</v>
      </c>
      <c r="E11" s="33">
        <v>120406</v>
      </c>
      <c r="F11" s="33">
        <v>98317</v>
      </c>
      <c r="G11" s="33">
        <v>133051</v>
      </c>
      <c r="H11" s="33">
        <v>219028</v>
      </c>
      <c r="I11" s="33">
        <v>153474</v>
      </c>
      <c r="J11" s="33">
        <v>115560</v>
      </c>
      <c r="K11" s="38">
        <v>325461</v>
      </c>
      <c r="L11" s="38">
        <v>119917</v>
      </c>
      <c r="M11" s="38">
        <f>87984.92+3300+1092.97+27402.69</f>
        <v>119780.58</v>
      </c>
      <c r="N11" s="38">
        <f>116078-3503</f>
        <v>112575</v>
      </c>
      <c r="O11" s="38">
        <v>121643</v>
      </c>
      <c r="P11" s="41"/>
      <c r="Q11" s="48">
        <f>SUM(D11:O11)</f>
        <v>1824458.58</v>
      </c>
      <c r="R11" s="33">
        <v>1915250</v>
      </c>
      <c r="S11" s="33"/>
      <c r="T11" s="9"/>
      <c r="U11" s="13"/>
      <c r="V11" s="5"/>
    </row>
    <row r="12" spans="1:25" x14ac:dyDescent="0.15">
      <c r="A12" s="5"/>
      <c r="B12" s="1" t="s">
        <v>17</v>
      </c>
      <c r="D12" s="36">
        <v>154090</v>
      </c>
      <c r="E12" s="36">
        <v>269205</v>
      </c>
      <c r="F12" s="36">
        <v>264890</v>
      </c>
      <c r="G12" s="36">
        <v>266413</v>
      </c>
      <c r="H12" s="36">
        <v>273954</v>
      </c>
      <c r="I12" s="36">
        <v>276684</v>
      </c>
      <c r="J12" s="36">
        <v>273632</v>
      </c>
      <c r="K12" s="39">
        <v>255933</v>
      </c>
      <c r="L12" s="39">
        <v>255495</v>
      </c>
      <c r="M12" s="39">
        <v>283006.62</v>
      </c>
      <c r="N12" s="39">
        <f>505372+3144</f>
        <v>508516</v>
      </c>
      <c r="O12" s="39">
        <v>453624</v>
      </c>
      <c r="P12" s="42"/>
      <c r="Q12" s="36">
        <f>SUM(D12:O12)</f>
        <v>3535442.62</v>
      </c>
      <c r="R12" s="36">
        <v>3512890</v>
      </c>
      <c r="S12" s="65">
        <f>R12-Q12</f>
        <v>-22552.620000000112</v>
      </c>
      <c r="T12" s="16">
        <f>S12/R12</f>
        <v>-6.4199619117023621E-3</v>
      </c>
      <c r="U12" s="13"/>
      <c r="V12" s="5"/>
    </row>
    <row r="13" spans="1:25" x14ac:dyDescent="0.15">
      <c r="A13" s="5"/>
      <c r="B13" s="1" t="s">
        <v>65</v>
      </c>
      <c r="D13" s="63">
        <f>D9-D12</f>
        <v>31175</v>
      </c>
      <c r="E13" s="64">
        <f>E9-E12</f>
        <v>-13828</v>
      </c>
      <c r="F13" s="63">
        <f t="shared" ref="F13:R13" si="1">F9-F12</f>
        <v>-36839</v>
      </c>
      <c r="G13" s="63">
        <f t="shared" si="1"/>
        <v>2518</v>
      </c>
      <c r="H13" s="63">
        <f t="shared" si="1"/>
        <v>65873</v>
      </c>
      <c r="I13" s="63">
        <f t="shared" si="1"/>
        <v>20911</v>
      </c>
      <c r="J13" s="63">
        <f t="shared" si="1"/>
        <v>-25852</v>
      </c>
      <c r="K13" s="63">
        <f t="shared" si="1"/>
        <v>207090</v>
      </c>
      <c r="L13" s="63">
        <f t="shared" si="1"/>
        <v>-139</v>
      </c>
      <c r="M13" s="63">
        <f t="shared" si="1"/>
        <v>-30336.989999999991</v>
      </c>
      <c r="N13" s="63">
        <f t="shared" si="1"/>
        <v>-263289</v>
      </c>
      <c r="O13" s="63">
        <f t="shared" si="1"/>
        <v>-22182</v>
      </c>
      <c r="P13" s="41">
        <f t="shared" si="1"/>
        <v>0</v>
      </c>
      <c r="Q13" s="91">
        <f t="shared" si="1"/>
        <v>-64898.990000000224</v>
      </c>
      <c r="R13" s="33">
        <f t="shared" si="1"/>
        <v>0</v>
      </c>
      <c r="S13" s="63">
        <f>S9+S12</f>
        <v>-64898.990000000224</v>
      </c>
      <c r="T13" s="62" t="e">
        <f>S13/R13</f>
        <v>#DIV/0!</v>
      </c>
      <c r="U13" s="13"/>
      <c r="V13" s="5"/>
    </row>
    <row r="14" spans="1:25" x14ac:dyDescent="0.15">
      <c r="A14" s="5"/>
      <c r="E14" s="13"/>
      <c r="F14" s="13"/>
      <c r="G14" s="13"/>
      <c r="H14" s="13"/>
      <c r="I14" s="13"/>
      <c r="J14" s="13"/>
      <c r="K14" s="37"/>
      <c r="L14" s="37"/>
      <c r="M14" s="37"/>
      <c r="N14" s="37"/>
      <c r="O14" s="13"/>
      <c r="P14" s="43"/>
      <c r="Q14" s="13"/>
      <c r="R14" s="13"/>
      <c r="S14" s="13"/>
      <c r="T14" s="9"/>
      <c r="U14" s="13"/>
      <c r="V14" s="5"/>
    </row>
    <row r="15" spans="1:25" ht="15" customHeight="1" x14ac:dyDescent="0.2">
      <c r="A15" s="5"/>
      <c r="B15" s="242" t="s">
        <v>51</v>
      </c>
      <c r="C15" s="242"/>
      <c r="D15" s="258" t="s">
        <v>31</v>
      </c>
      <c r="E15" s="258"/>
      <c r="F15" s="258"/>
      <c r="G15" s="258"/>
      <c r="H15" s="258"/>
      <c r="I15" s="258"/>
      <c r="J15" s="258"/>
      <c r="K15" s="258"/>
      <c r="L15" s="258"/>
      <c r="M15" s="259"/>
      <c r="N15" s="259"/>
      <c r="O15" s="259"/>
      <c r="P15" s="43"/>
      <c r="Q15" s="13"/>
      <c r="R15" s="13"/>
      <c r="S15" s="13"/>
      <c r="T15" s="9"/>
      <c r="U15" s="13"/>
      <c r="V15" s="5"/>
    </row>
    <row r="16" spans="1:25" ht="15" customHeight="1" x14ac:dyDescent="0.15">
      <c r="A16" s="5"/>
      <c r="B16" s="254" t="s">
        <v>52</v>
      </c>
      <c r="C16" s="254"/>
      <c r="D16" s="30">
        <v>145539</v>
      </c>
      <c r="E16" s="72">
        <f t="shared" ref="E16:O16" si="2">D19</f>
        <v>200409.22</v>
      </c>
      <c r="F16" s="72">
        <f t="shared" si="2"/>
        <v>225931.74</v>
      </c>
      <c r="G16" s="72">
        <f t="shared" si="2"/>
        <v>198988.42</v>
      </c>
      <c r="H16" s="72">
        <f t="shared" si="2"/>
        <v>197735.67999999999</v>
      </c>
      <c r="I16" s="72">
        <f t="shared" si="2"/>
        <v>233935.38</v>
      </c>
      <c r="J16" s="72">
        <f t="shared" si="2"/>
        <v>259910.71</v>
      </c>
      <c r="K16" s="72">
        <f t="shared" si="2"/>
        <v>125661.8</v>
      </c>
      <c r="L16" s="72">
        <f t="shared" si="2"/>
        <v>267478.90000000002</v>
      </c>
      <c r="M16" s="72">
        <f t="shared" si="2"/>
        <v>286050.59000000003</v>
      </c>
      <c r="N16" s="72">
        <f t="shared" si="2"/>
        <v>169993.18</v>
      </c>
      <c r="O16" s="72">
        <f t="shared" si="2"/>
        <v>212830.18</v>
      </c>
      <c r="P16" s="43"/>
      <c r="Q16" s="48">
        <f>D16</f>
        <v>145539</v>
      </c>
      <c r="R16" s="73">
        <v>145539</v>
      </c>
      <c r="S16" s="48">
        <f>Q16-R16</f>
        <v>0</v>
      </c>
      <c r="T16" s="74">
        <f>S16/R16</f>
        <v>0</v>
      </c>
      <c r="U16" s="13"/>
      <c r="V16" s="5"/>
    </row>
    <row r="17" spans="1:27" ht="15" customHeight="1" x14ac:dyDescent="0.15">
      <c r="A17" s="5"/>
      <c r="B17" s="34"/>
      <c r="C17" s="34" t="s">
        <v>66</v>
      </c>
      <c r="D17" s="30">
        <f t="shared" ref="D17:O17" si="3">D13</f>
        <v>31175</v>
      </c>
      <c r="E17" s="30">
        <f>E13</f>
        <v>-13828</v>
      </c>
      <c r="F17" s="30">
        <f t="shared" si="3"/>
        <v>-36839</v>
      </c>
      <c r="G17" s="30">
        <f t="shared" si="3"/>
        <v>2518</v>
      </c>
      <c r="H17" s="30">
        <f t="shared" si="3"/>
        <v>65873</v>
      </c>
      <c r="I17" s="30">
        <f t="shared" si="3"/>
        <v>20911</v>
      </c>
      <c r="J17" s="30">
        <f t="shared" si="3"/>
        <v>-25852</v>
      </c>
      <c r="K17" s="30">
        <f t="shared" si="3"/>
        <v>207090</v>
      </c>
      <c r="L17" s="30">
        <f t="shared" si="3"/>
        <v>-139</v>
      </c>
      <c r="M17" s="30">
        <f t="shared" si="3"/>
        <v>-30336.989999999991</v>
      </c>
      <c r="N17" s="30">
        <f t="shared" si="3"/>
        <v>-263289</v>
      </c>
      <c r="O17" s="30">
        <f t="shared" si="3"/>
        <v>-22182</v>
      </c>
      <c r="P17" s="43"/>
      <c r="Q17" s="92">
        <f>Q13</f>
        <v>-64898.990000000224</v>
      </c>
      <c r="R17" s="51">
        <f>R13</f>
        <v>0</v>
      </c>
      <c r="S17" s="63">
        <f>Q17-R17</f>
        <v>-64898.990000000224</v>
      </c>
      <c r="T17" s="9" t="e">
        <f>S17/R17</f>
        <v>#DIV/0!</v>
      </c>
      <c r="U17" s="13"/>
      <c r="V17" s="5"/>
    </row>
    <row r="18" spans="1:27" s="47" customFormat="1" ht="28.5" hidden="1" customHeight="1" x14ac:dyDescent="0.15">
      <c r="A18" s="5"/>
      <c r="B18" s="256" t="s">
        <v>49</v>
      </c>
      <c r="C18" s="256"/>
      <c r="D18" s="70">
        <f t="shared" ref="D18:M18" si="4">D19-(D16+D17)</f>
        <v>23695.22</v>
      </c>
      <c r="E18" s="49">
        <f t="shared" si="4"/>
        <v>39350.51999999999</v>
      </c>
      <c r="F18" s="49">
        <f t="shared" si="4"/>
        <v>9895.6800000000221</v>
      </c>
      <c r="G18" s="49">
        <f t="shared" si="4"/>
        <v>-3770.7400000000198</v>
      </c>
      <c r="H18" s="49">
        <f t="shared" si="4"/>
        <v>-29673.299999999988</v>
      </c>
      <c r="I18" s="49">
        <f t="shared" si="4"/>
        <v>5064.3299999999872</v>
      </c>
      <c r="J18" s="49">
        <f t="shared" si="4"/>
        <v>-108396.90999999999</v>
      </c>
      <c r="K18" s="49">
        <f t="shared" si="4"/>
        <v>-65272.899999999965</v>
      </c>
      <c r="L18" s="49">
        <f t="shared" si="4"/>
        <v>18710.690000000002</v>
      </c>
      <c r="M18" s="49">
        <f t="shared" si="4"/>
        <v>-85720.420000000042</v>
      </c>
      <c r="N18" s="50">
        <v>306126</v>
      </c>
      <c r="O18" s="50">
        <v>-39775</v>
      </c>
      <c r="P18" s="43"/>
      <c r="Q18" s="49">
        <f>Q19-(Q16+Q17)</f>
        <v>70233.170000000217</v>
      </c>
      <c r="R18" s="49">
        <f>R19-(R16+R17)</f>
        <v>0</v>
      </c>
      <c r="S18" s="65">
        <f>Q18-R18</f>
        <v>70233.170000000217</v>
      </c>
      <c r="T18" s="16" t="e">
        <f>S18/R18</f>
        <v>#DIV/0!</v>
      </c>
      <c r="U18" s="13"/>
      <c r="V18" s="5"/>
      <c r="W18" s="22"/>
      <c r="X18" s="22"/>
      <c r="Y18" s="22"/>
    </row>
    <row r="19" spans="1:27" ht="15" customHeight="1" x14ac:dyDescent="0.15">
      <c r="A19" s="5"/>
      <c r="B19" s="254" t="s">
        <v>50</v>
      </c>
      <c r="C19" s="254"/>
      <c r="D19" s="71">
        <v>200409.22</v>
      </c>
      <c r="E19" s="35">
        <v>225931.74</v>
      </c>
      <c r="F19" s="35">
        <v>198988.42</v>
      </c>
      <c r="G19" s="35">
        <v>197735.67999999999</v>
      </c>
      <c r="H19" s="35">
        <v>233935.38</v>
      </c>
      <c r="I19" s="35">
        <v>259910.71</v>
      </c>
      <c r="J19" s="35">
        <v>125661.8</v>
      </c>
      <c r="K19" s="35">
        <v>267478.90000000002</v>
      </c>
      <c r="L19" s="35">
        <v>286050.59000000003</v>
      </c>
      <c r="M19" s="35">
        <v>169993.18</v>
      </c>
      <c r="N19" s="35">
        <f>SUM(N16:N18)</f>
        <v>212830.18</v>
      </c>
      <c r="O19" s="35">
        <f>SUM(O16:O18)</f>
        <v>150873.18</v>
      </c>
      <c r="P19" s="43"/>
      <c r="Q19" s="38">
        <f>O19</f>
        <v>150873.18</v>
      </c>
      <c r="R19" s="38">
        <f>R16+R17</f>
        <v>145539</v>
      </c>
      <c r="S19" s="91">
        <f>Q19-R19</f>
        <v>5334.179999999993</v>
      </c>
      <c r="T19" s="9">
        <f>S19/R19</f>
        <v>3.6651206892997702E-2</v>
      </c>
      <c r="U19" s="13"/>
      <c r="V19" s="5"/>
    </row>
    <row r="20" spans="1:27" ht="15" x14ac:dyDescent="0.2">
      <c r="A20" s="5"/>
      <c r="B20" s="214" t="s">
        <v>6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5"/>
      <c r="Q20" s="255"/>
      <c r="R20" s="241"/>
      <c r="S20" s="241"/>
      <c r="T20" s="241"/>
      <c r="U20" s="241"/>
      <c r="V20" s="5"/>
    </row>
    <row r="21" spans="1:27" ht="15" x14ac:dyDescent="0.2">
      <c r="A21" s="5"/>
      <c r="B21" s="4" t="s">
        <v>7</v>
      </c>
      <c r="F21" s="4" t="s">
        <v>8</v>
      </c>
      <c r="G21" s="8" t="s">
        <v>45</v>
      </c>
      <c r="H21" s="29" t="s">
        <v>48</v>
      </c>
      <c r="I21" s="29" t="s">
        <v>47</v>
      </c>
      <c r="J21" s="29" t="s">
        <v>46</v>
      </c>
      <c r="K21" s="78"/>
      <c r="P21" s="5"/>
      <c r="Q21" s="248"/>
      <c r="R21" s="249"/>
      <c r="S21" s="80"/>
      <c r="T21" s="80"/>
      <c r="U21" s="80"/>
      <c r="V21" s="5"/>
    </row>
    <row r="22" spans="1:27" x14ac:dyDescent="0.15">
      <c r="A22" s="5"/>
      <c r="B22" s="1" t="s">
        <v>0</v>
      </c>
      <c r="F22" s="31" t="s">
        <v>9</v>
      </c>
      <c r="G22" s="52">
        <f>348492.16/374906.83</f>
        <v>0.92954337481661764</v>
      </c>
      <c r="H22" s="52">
        <f>373571/260347.77</f>
        <v>1.4348922596878784</v>
      </c>
      <c r="I22" s="59">
        <f>501293.16/360263.18</f>
        <v>1.3914637626859341</v>
      </c>
      <c r="J22" s="93">
        <f>498130/465414</f>
        <v>1.0702944045516465</v>
      </c>
      <c r="K22" s="57"/>
      <c r="P22" s="5"/>
      <c r="S22" s="7"/>
      <c r="V22" s="5"/>
    </row>
    <row r="23" spans="1:27" x14ac:dyDescent="0.15">
      <c r="A23" s="5"/>
      <c r="B23" s="1" t="s">
        <v>1</v>
      </c>
      <c r="F23" s="31" t="s">
        <v>10</v>
      </c>
      <c r="G23" s="52">
        <f>5379907.72/288238.89</f>
        <v>18.664753115028994</v>
      </c>
      <c r="H23" s="52">
        <f>5150348.66/377540.39</f>
        <v>13.641848121203667</v>
      </c>
      <c r="I23" s="59">
        <f>5250264.07/558639.93</f>
        <v>9.3982971643290867</v>
      </c>
      <c r="J23" s="93">
        <f>4664930/158447</f>
        <v>29.441579834266349</v>
      </c>
      <c r="K23" s="57"/>
      <c r="P23" s="5"/>
      <c r="S23" s="7"/>
      <c r="V23" s="5"/>
    </row>
    <row r="24" spans="1:27" x14ac:dyDescent="0.15">
      <c r="A24" s="5"/>
      <c r="B24" s="1" t="s">
        <v>69</v>
      </c>
      <c r="F24" s="18" t="s">
        <v>11</v>
      </c>
      <c r="G24" s="75">
        <f>198988/(688186/91.25)</f>
        <v>26.384807305001846</v>
      </c>
      <c r="H24" s="77">
        <f>259911/(817051/91.25)</f>
        <v>29.027415363300456</v>
      </c>
      <c r="I24" s="76">
        <f>286051/(785060/91.25)</f>
        <v>33.248609978855121</v>
      </c>
      <c r="J24" s="94">
        <f>150873/(3535443/365)</f>
        <v>15.576165419722507</v>
      </c>
      <c r="K24" s="57"/>
      <c r="P24" s="5"/>
      <c r="S24" s="7"/>
      <c r="T24" s="10"/>
      <c r="V24" s="5"/>
    </row>
    <row r="25" spans="1:27" x14ac:dyDescent="0.15">
      <c r="A25" s="5"/>
      <c r="B25" s="1" t="s">
        <v>53</v>
      </c>
      <c r="F25" s="31" t="s">
        <v>12</v>
      </c>
      <c r="G25" s="23">
        <f>-19494.22/668691.67</f>
        <v>-2.9152778290179687E-2</v>
      </c>
      <c r="H25" s="23">
        <f>89301.5/906352.11</f>
        <v>9.8528484696747715E-2</v>
      </c>
      <c r="I25" s="60">
        <f>181099.54/966159.84</f>
        <v>0.1874426285406357</v>
      </c>
      <c r="J25" s="95">
        <f>-64899/3470544</f>
        <v>-1.8699950209534875E-2</v>
      </c>
      <c r="K25" s="57"/>
      <c r="P25" s="5"/>
      <c r="S25" s="7"/>
      <c r="T25" s="11"/>
      <c r="V25" s="5"/>
      <c r="Z25" s="47"/>
      <c r="AA25" s="47"/>
    </row>
    <row r="26" spans="1:27" x14ac:dyDescent="0.15">
      <c r="A26" s="5"/>
      <c r="B26" s="1" t="s">
        <v>2</v>
      </c>
      <c r="F26" s="31" t="s">
        <v>12</v>
      </c>
      <c r="G26" s="23">
        <f>288238.89/688185.89</f>
        <v>0.41883870940742479</v>
      </c>
      <c r="H26" s="23">
        <f>377540.39/817050.61</f>
        <v>0.46207711661827167</v>
      </c>
      <c r="I26" s="60">
        <f>558639.93/785060.3</f>
        <v>0.71158856205058396</v>
      </c>
      <c r="J26" s="95">
        <f>158447/3535443</f>
        <v>4.4816731594880754E-2</v>
      </c>
      <c r="K26" s="57"/>
      <c r="P26" s="5"/>
      <c r="S26" s="7"/>
      <c r="T26" s="11"/>
      <c r="V26" s="5"/>
      <c r="Z26" s="47"/>
      <c r="AA26" s="47"/>
    </row>
    <row r="27" spans="1:27" x14ac:dyDescent="0.15">
      <c r="A27" s="5"/>
      <c r="B27" s="1" t="s">
        <v>3</v>
      </c>
      <c r="F27" s="31"/>
      <c r="G27" s="23">
        <f>165984.87/668691.67</f>
        <v>0.24822332540795669</v>
      </c>
      <c r="H27" s="23">
        <f>165495.32/906352.11</f>
        <v>0.18259495197732811</v>
      </c>
      <c r="I27" s="60">
        <f>23973.64/966159.84</f>
        <v>2.4813326954264629E-2</v>
      </c>
      <c r="J27" s="95">
        <f>424359/3470544</f>
        <v>0.12227449068503382</v>
      </c>
      <c r="K27" s="57"/>
      <c r="P27" s="5"/>
      <c r="Q27" s="47"/>
      <c r="R27" s="47"/>
      <c r="S27" s="7"/>
      <c r="T27" s="11"/>
      <c r="U27" s="47"/>
      <c r="V27" s="5"/>
    </row>
    <row r="28" spans="1:27" ht="15" x14ac:dyDescent="0.2">
      <c r="A28" s="5"/>
      <c r="B28" s="1" t="s">
        <v>4</v>
      </c>
      <c r="F28" s="31" t="s">
        <v>13</v>
      </c>
      <c r="G28" s="23">
        <f>384164.92/688185.89</f>
        <v>0.55822841703424053</v>
      </c>
      <c r="H28" s="58">
        <f>526689.9/817050.61</f>
        <v>0.64462334836271651</v>
      </c>
      <c r="I28" s="60">
        <f>528928.53/785060.3</f>
        <v>0.67374255200524091</v>
      </c>
      <c r="J28" s="95">
        <f>2089901/3535443</f>
        <v>0.59112846678619912</v>
      </c>
      <c r="K28" s="57"/>
      <c r="P28" s="5"/>
      <c r="Q28" s="47"/>
      <c r="R28" s="47"/>
      <c r="S28" s="7"/>
      <c r="U28" s="47"/>
      <c r="V28" s="5"/>
    </row>
    <row r="29" spans="1:27" x14ac:dyDescent="0.15">
      <c r="A29" s="5"/>
      <c r="B29" s="1" t="s">
        <v>5</v>
      </c>
      <c r="F29" s="31"/>
      <c r="G29" s="23">
        <f>120002.66/688185.89</f>
        <v>0.17437535663510917</v>
      </c>
      <c r="H29" s="23">
        <f>117070.2/817050.61</f>
        <v>0.14328390257244897</v>
      </c>
      <c r="I29" s="60">
        <f>112476.88/785060.3</f>
        <v>0.14327164422911207</v>
      </c>
      <c r="J29" s="95">
        <f>135750/3535443</f>
        <v>3.8396885482243667E-2</v>
      </c>
      <c r="K29" s="57"/>
      <c r="P29" s="5"/>
      <c r="Q29" s="22"/>
      <c r="V29" s="5"/>
    </row>
    <row r="30" spans="1:27" ht="16" x14ac:dyDescent="0.2">
      <c r="A30" s="250" t="s">
        <v>34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6"/>
    </row>
    <row r="31" spans="1:27" ht="15" x14ac:dyDescent="0.2">
      <c r="A31" s="214" t="s">
        <v>70</v>
      </c>
      <c r="B31" s="215"/>
      <c r="C31" s="215"/>
      <c r="D31" s="215"/>
      <c r="E31" s="215"/>
      <c r="F31" s="215"/>
      <c r="G31" s="215"/>
      <c r="H31" s="215"/>
      <c r="I31" s="214" t="s">
        <v>76</v>
      </c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</row>
    <row r="32" spans="1:27" ht="15" x14ac:dyDescent="0.2">
      <c r="A32" s="5"/>
      <c r="B32" s="209" t="s">
        <v>56</v>
      </c>
      <c r="C32" s="210"/>
      <c r="D32" s="66">
        <v>36.57</v>
      </c>
      <c r="E32" s="68"/>
      <c r="F32" s="69"/>
      <c r="G32" s="68"/>
      <c r="H32" s="69"/>
      <c r="I32" s="217"/>
      <c r="J32" s="217"/>
      <c r="K32" s="24"/>
      <c r="L32" s="257"/>
      <c r="M32" s="192"/>
      <c r="N32" s="24" t="s">
        <v>15</v>
      </c>
      <c r="O32" s="252" t="s">
        <v>31</v>
      </c>
      <c r="P32" s="253"/>
      <c r="Q32" s="24" t="s">
        <v>71</v>
      </c>
      <c r="R32" s="24" t="s">
        <v>72</v>
      </c>
      <c r="S32" s="24" t="s">
        <v>73</v>
      </c>
      <c r="T32" s="24"/>
      <c r="U32" s="24"/>
      <c r="V32" s="5"/>
      <c r="X32" s="243"/>
      <c r="Y32" s="244"/>
    </row>
    <row r="33" spans="1:25" ht="15" x14ac:dyDescent="0.2">
      <c r="A33" s="5"/>
      <c r="B33" s="209" t="s">
        <v>57</v>
      </c>
      <c r="C33" s="210"/>
      <c r="D33" s="66">
        <v>44.8</v>
      </c>
      <c r="E33" s="68"/>
      <c r="F33" s="69"/>
      <c r="G33" s="68"/>
      <c r="H33" s="69"/>
      <c r="I33" s="228"/>
      <c r="J33" s="229"/>
      <c r="K33" s="79"/>
      <c r="L33" s="235" t="s">
        <v>74</v>
      </c>
      <c r="M33" s="192"/>
      <c r="N33" s="81">
        <v>13</v>
      </c>
      <c r="O33" s="231">
        <v>14</v>
      </c>
      <c r="P33" s="232"/>
      <c r="Q33" s="81">
        <v>6</v>
      </c>
      <c r="R33" s="81">
        <v>4</v>
      </c>
      <c r="S33" s="81">
        <v>2</v>
      </c>
      <c r="T33" s="79"/>
      <c r="U33" s="79"/>
      <c r="V33" s="5"/>
    </row>
    <row r="34" spans="1:25" ht="15" x14ac:dyDescent="0.2">
      <c r="A34" s="5"/>
      <c r="B34" s="209" t="s">
        <v>58</v>
      </c>
      <c r="C34" s="210"/>
      <c r="D34" s="66">
        <v>30.1</v>
      </c>
      <c r="E34" s="68"/>
      <c r="F34" s="69"/>
      <c r="G34" s="68"/>
      <c r="H34" s="69"/>
      <c r="I34" s="228"/>
      <c r="J34" s="229"/>
      <c r="K34" s="61"/>
      <c r="L34" s="236" t="s">
        <v>75</v>
      </c>
      <c r="M34" s="192"/>
      <c r="N34" s="82">
        <v>88</v>
      </c>
      <c r="O34" s="211">
        <v>85</v>
      </c>
      <c r="P34" s="212"/>
      <c r="Q34" s="82">
        <v>8</v>
      </c>
      <c r="R34" s="82">
        <v>44</v>
      </c>
      <c r="S34" s="82">
        <v>32</v>
      </c>
      <c r="T34" s="61"/>
      <c r="U34" s="61"/>
      <c r="V34" s="5"/>
    </row>
    <row r="35" spans="1:25" s="47" customFormat="1" ht="15" x14ac:dyDescent="0.2">
      <c r="A35" s="5"/>
      <c r="B35" s="195" t="s">
        <v>59</v>
      </c>
      <c r="C35" s="196"/>
      <c r="D35" s="66">
        <v>37</v>
      </c>
      <c r="E35" s="68"/>
      <c r="F35" s="69"/>
      <c r="G35" s="68"/>
      <c r="H35" s="69"/>
      <c r="I35" s="193"/>
      <c r="J35" s="194"/>
      <c r="K35" s="61"/>
      <c r="L35" s="236" t="s">
        <v>77</v>
      </c>
      <c r="M35" s="192"/>
      <c r="N35" s="82">
        <v>112</v>
      </c>
      <c r="O35" s="219">
        <v>110</v>
      </c>
      <c r="P35" s="220"/>
      <c r="Q35" s="61"/>
      <c r="R35" s="61"/>
      <c r="S35" s="61"/>
      <c r="T35" s="61"/>
      <c r="U35" s="61"/>
      <c r="V35" s="5"/>
      <c r="W35" s="22"/>
      <c r="X35" s="22"/>
      <c r="Y35" s="22"/>
    </row>
    <row r="36" spans="1:25" s="47" customFormat="1" ht="15" x14ac:dyDescent="0.2">
      <c r="A36" s="5"/>
      <c r="B36" s="195" t="s">
        <v>60</v>
      </c>
      <c r="C36" s="196"/>
      <c r="D36" s="66">
        <v>25.4</v>
      </c>
      <c r="E36" s="68"/>
      <c r="F36" s="69"/>
      <c r="G36" s="68"/>
      <c r="H36" s="69"/>
      <c r="I36" s="193"/>
      <c r="J36" s="194"/>
      <c r="K36" s="61"/>
      <c r="L36" s="236" t="s">
        <v>78</v>
      </c>
      <c r="M36" s="192"/>
      <c r="N36" s="82">
        <v>83</v>
      </c>
      <c r="O36" s="219">
        <v>84</v>
      </c>
      <c r="P36" s="220"/>
      <c r="Q36" s="61"/>
      <c r="R36" s="61"/>
      <c r="S36" s="61"/>
      <c r="T36" s="61"/>
      <c r="U36" s="61"/>
      <c r="V36" s="5"/>
      <c r="W36" s="22"/>
      <c r="X36" s="22"/>
      <c r="Y36" s="22"/>
    </row>
    <row r="37" spans="1:25" s="47" customFormat="1" ht="15" x14ac:dyDescent="0.2">
      <c r="A37" s="5"/>
      <c r="B37" s="195" t="s">
        <v>61</v>
      </c>
      <c r="C37" s="196"/>
      <c r="D37" s="66">
        <v>20.420000000000002</v>
      </c>
      <c r="E37" s="68"/>
      <c r="F37" s="69"/>
      <c r="G37" s="68"/>
      <c r="H37" s="69"/>
      <c r="I37" s="193"/>
      <c r="J37" s="194"/>
      <c r="K37" s="61"/>
      <c r="L37" s="236" t="s">
        <v>79</v>
      </c>
      <c r="M37" s="192"/>
      <c r="N37" s="82">
        <v>34</v>
      </c>
      <c r="O37" s="219">
        <v>34</v>
      </c>
      <c r="P37" s="220"/>
      <c r="Q37" s="61"/>
      <c r="R37" s="61"/>
      <c r="S37" s="61"/>
      <c r="T37" s="61"/>
      <c r="U37" s="61"/>
      <c r="V37" s="5"/>
      <c r="W37" s="22"/>
      <c r="X37" s="22"/>
      <c r="Y37" s="22"/>
    </row>
    <row r="38" spans="1:25" s="47" customFormat="1" ht="15" x14ac:dyDescent="0.2">
      <c r="A38" s="5"/>
      <c r="B38" s="195" t="s">
        <v>62</v>
      </c>
      <c r="C38" s="196"/>
      <c r="D38" s="66">
        <v>20</v>
      </c>
      <c r="E38" s="68"/>
      <c r="F38" s="69"/>
      <c r="G38" s="68"/>
      <c r="H38" s="69"/>
      <c r="I38" s="193"/>
      <c r="J38" s="194"/>
      <c r="K38" s="61"/>
      <c r="L38" s="236" t="s">
        <v>80</v>
      </c>
      <c r="M38" s="192"/>
      <c r="N38" s="83">
        <f>SUM(N33:N37)</f>
        <v>330</v>
      </c>
      <c r="O38" s="211">
        <f>SUM(O33:P37)</f>
        <v>327</v>
      </c>
      <c r="P38" s="220"/>
      <c r="Q38" s="61"/>
      <c r="R38" s="61"/>
      <c r="S38" s="61"/>
      <c r="T38" s="61"/>
      <c r="U38" s="61"/>
      <c r="V38" s="5"/>
      <c r="W38" s="22"/>
      <c r="X38" s="22"/>
      <c r="Y38" s="22"/>
    </row>
    <row r="39" spans="1:25" s="47" customFormat="1" ht="15" x14ac:dyDescent="0.2">
      <c r="A39" s="5"/>
      <c r="B39" s="195" t="s">
        <v>63</v>
      </c>
      <c r="C39" s="196"/>
      <c r="D39" s="66">
        <v>13</v>
      </c>
      <c r="E39" s="68"/>
      <c r="F39" s="69"/>
      <c r="G39" s="68"/>
      <c r="H39" s="69"/>
      <c r="I39" s="193"/>
      <c r="J39" s="194"/>
      <c r="K39" s="61"/>
      <c r="L39" s="236"/>
      <c r="M39" s="192"/>
      <c r="N39" s="61"/>
      <c r="O39" s="219"/>
      <c r="P39" s="220"/>
      <c r="Q39" s="61"/>
      <c r="R39" s="61"/>
      <c r="S39" s="61"/>
      <c r="T39" s="61"/>
      <c r="U39" s="61"/>
      <c r="V39" s="5"/>
      <c r="W39" s="22"/>
      <c r="X39" s="22"/>
      <c r="Y39" s="22"/>
    </row>
    <row r="40" spans="1:25" ht="15" x14ac:dyDescent="0.2">
      <c r="A40" s="5"/>
      <c r="B40" s="209" t="s">
        <v>64</v>
      </c>
      <c r="C40" s="210"/>
      <c r="D40" s="66">
        <v>2</v>
      </c>
      <c r="E40" s="68"/>
      <c r="F40" s="69"/>
      <c r="G40" s="68"/>
      <c r="H40" s="69"/>
      <c r="I40" s="193"/>
      <c r="J40" s="194"/>
      <c r="K40" s="17"/>
      <c r="L40" s="191"/>
      <c r="M40" s="192"/>
      <c r="N40" s="17"/>
      <c r="O40" s="219"/>
      <c r="P40" s="220"/>
      <c r="Q40" s="17"/>
      <c r="R40" s="17"/>
      <c r="S40" s="17"/>
      <c r="T40" s="17"/>
      <c r="U40" s="17"/>
      <c r="V40" s="5"/>
    </row>
    <row r="41" spans="1:25" ht="16.5" customHeight="1" x14ac:dyDescent="0.2">
      <c r="A41" s="5"/>
      <c r="B41" s="67" t="s">
        <v>68</v>
      </c>
      <c r="C41" s="67"/>
      <c r="D41" s="66">
        <f>SUM(D32:D40)</f>
        <v>229.29000000000002</v>
      </c>
      <c r="E41" s="68"/>
      <c r="F41" s="69"/>
      <c r="G41" s="68"/>
      <c r="H41" s="69"/>
      <c r="I41" s="193"/>
      <c r="J41" s="194"/>
      <c r="K41" s="31"/>
      <c r="L41" s="191"/>
      <c r="M41" s="192"/>
      <c r="N41" s="31"/>
      <c r="O41" s="219"/>
      <c r="P41" s="220"/>
      <c r="Q41" s="31"/>
      <c r="R41" s="31"/>
      <c r="S41" s="31"/>
      <c r="T41" s="31"/>
      <c r="U41" s="31"/>
      <c r="V41" s="5"/>
    </row>
    <row r="42" spans="1:25" ht="15" x14ac:dyDescent="0.2">
      <c r="A42" s="84"/>
      <c r="B42" s="224"/>
      <c r="C42" s="225"/>
      <c r="D42" s="69"/>
      <c r="E42" s="68"/>
      <c r="F42" s="69"/>
      <c r="G42" s="68"/>
      <c r="H42" s="69"/>
      <c r="I42" s="230"/>
      <c r="J42" s="230"/>
      <c r="K42" s="31"/>
      <c r="L42" s="191"/>
      <c r="M42" s="192"/>
      <c r="N42" s="18"/>
      <c r="O42" s="233"/>
      <c r="P42" s="194"/>
      <c r="Q42" s="18"/>
      <c r="R42" s="18"/>
      <c r="S42" s="18"/>
      <c r="T42" s="17"/>
      <c r="U42" s="18"/>
      <c r="V42" s="5"/>
    </row>
    <row r="43" spans="1:25" ht="15" x14ac:dyDescent="0.2">
      <c r="A43" s="214" t="s">
        <v>67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26"/>
      <c r="R43" s="227"/>
      <c r="S43" s="227"/>
      <c r="T43" s="227"/>
      <c r="U43" s="227"/>
      <c r="V43" s="3"/>
      <c r="W43" s="26"/>
      <c r="X43" s="26"/>
      <c r="Y43" s="26"/>
    </row>
    <row r="44" spans="1:25" ht="15" x14ac:dyDescent="0.2">
      <c r="A44" s="5"/>
      <c r="B44" s="216" t="s">
        <v>14</v>
      </c>
      <c r="C44" s="217"/>
      <c r="D44" s="217"/>
      <c r="E44" s="216" t="s">
        <v>36</v>
      </c>
      <c r="F44" s="218"/>
      <c r="G44" s="85"/>
      <c r="H44" s="27"/>
      <c r="I44" s="221"/>
      <c r="J44" s="221"/>
      <c r="K44" s="234"/>
      <c r="L44" s="221"/>
      <c r="M44" s="221"/>
      <c r="N44" s="221"/>
      <c r="O44" s="221"/>
      <c r="P44" s="44"/>
      <c r="Q44" s="45"/>
      <c r="R44" s="234"/>
      <c r="S44" s="222"/>
      <c r="T44" s="222"/>
      <c r="U44" s="222"/>
      <c r="V44" s="5"/>
    </row>
    <row r="45" spans="1:25" ht="15" x14ac:dyDescent="0.2">
      <c r="A45" s="5"/>
      <c r="B45" s="197" t="s">
        <v>37</v>
      </c>
      <c r="C45" s="198"/>
      <c r="D45" s="199"/>
      <c r="E45" s="206">
        <v>22</v>
      </c>
      <c r="F45" s="207"/>
      <c r="G45" s="85"/>
      <c r="H45" s="27"/>
      <c r="I45" s="213"/>
      <c r="J45" s="213"/>
      <c r="K45" s="200"/>
      <c r="L45" s="201"/>
      <c r="M45" s="201"/>
      <c r="N45" s="201"/>
      <c r="O45" s="201"/>
      <c r="P45" s="44"/>
      <c r="Q45" s="46"/>
      <c r="R45" s="200"/>
      <c r="S45" s="201"/>
      <c r="T45" s="201"/>
      <c r="U45" s="201"/>
      <c r="V45" s="5"/>
    </row>
    <row r="46" spans="1:25" ht="15" x14ac:dyDescent="0.2">
      <c r="A46" s="5"/>
      <c r="B46" s="197" t="s">
        <v>81</v>
      </c>
      <c r="C46" s="198"/>
      <c r="D46" s="199"/>
      <c r="E46" s="206">
        <v>6</v>
      </c>
      <c r="F46" s="207"/>
      <c r="G46" s="85"/>
      <c r="H46" s="27"/>
      <c r="I46" s="222"/>
      <c r="J46" s="222"/>
      <c r="K46" s="200"/>
      <c r="L46" s="201"/>
      <c r="M46" s="201"/>
      <c r="N46" s="201"/>
      <c r="O46" s="201"/>
      <c r="P46" s="44"/>
      <c r="Q46" s="46"/>
      <c r="R46" s="200"/>
      <c r="S46" s="201"/>
      <c r="T46" s="201"/>
      <c r="U46" s="201"/>
      <c r="V46" s="5"/>
    </row>
    <row r="47" spans="1:25" ht="15" x14ac:dyDescent="0.2">
      <c r="A47" s="5"/>
      <c r="B47" s="197" t="s">
        <v>82</v>
      </c>
      <c r="C47" s="198"/>
      <c r="D47" s="199"/>
      <c r="E47" s="206">
        <v>20</v>
      </c>
      <c r="F47" s="208"/>
      <c r="G47" s="22"/>
      <c r="H47" s="27"/>
      <c r="I47" s="222"/>
      <c r="J47" s="222"/>
      <c r="K47" s="200"/>
      <c r="L47" s="201"/>
      <c r="M47" s="201"/>
      <c r="N47" s="201"/>
      <c r="O47" s="201"/>
      <c r="P47" s="44"/>
      <c r="Q47" s="46"/>
      <c r="R47" s="200"/>
      <c r="S47" s="201"/>
      <c r="T47" s="201"/>
      <c r="U47" s="201"/>
      <c r="V47" s="5"/>
    </row>
    <row r="48" spans="1:25" ht="15" x14ac:dyDescent="0.2">
      <c r="A48" s="5"/>
      <c r="B48" s="197" t="s">
        <v>38</v>
      </c>
      <c r="C48" s="198"/>
      <c r="D48" s="199"/>
      <c r="E48" s="206">
        <v>0</v>
      </c>
      <c r="F48" s="208"/>
      <c r="G48" s="22"/>
      <c r="H48" s="27"/>
      <c r="I48" s="222"/>
      <c r="J48" s="222"/>
      <c r="K48" s="200"/>
      <c r="L48" s="201"/>
      <c r="M48" s="201"/>
      <c r="N48" s="201"/>
      <c r="O48" s="201"/>
      <c r="P48" s="44"/>
      <c r="Q48" s="46"/>
      <c r="R48" s="200"/>
      <c r="S48" s="201"/>
      <c r="T48" s="201"/>
      <c r="U48" s="201"/>
      <c r="V48" s="5"/>
    </row>
    <row r="49" spans="1:22" ht="15" x14ac:dyDescent="0.2">
      <c r="A49" s="5"/>
      <c r="B49" s="197" t="s">
        <v>41</v>
      </c>
      <c r="C49" s="198"/>
      <c r="D49" s="199"/>
      <c r="E49" s="206">
        <v>0</v>
      </c>
      <c r="F49" s="208"/>
      <c r="G49" s="22"/>
      <c r="H49" s="27"/>
      <c r="I49" s="222"/>
      <c r="J49" s="222"/>
      <c r="K49" s="200"/>
      <c r="L49" s="201"/>
      <c r="M49" s="201"/>
      <c r="N49" s="201"/>
      <c r="O49" s="201"/>
      <c r="P49" s="44"/>
      <c r="Q49" s="46"/>
      <c r="R49" s="200"/>
      <c r="S49" s="201"/>
      <c r="T49" s="201"/>
      <c r="U49" s="201"/>
      <c r="V49" s="5"/>
    </row>
    <row r="50" spans="1:22" ht="15" x14ac:dyDescent="0.2">
      <c r="A50" s="5"/>
      <c r="B50" s="197" t="s">
        <v>39</v>
      </c>
      <c r="C50" s="198"/>
      <c r="D50" s="199"/>
      <c r="E50" s="206">
        <v>0</v>
      </c>
      <c r="F50" s="208"/>
      <c r="G50" s="22"/>
      <c r="H50" s="27"/>
      <c r="I50" s="222"/>
      <c r="J50" s="222"/>
      <c r="K50" s="200"/>
      <c r="L50" s="201"/>
      <c r="M50" s="201"/>
      <c r="N50" s="201"/>
      <c r="O50" s="201"/>
      <c r="P50" s="44"/>
      <c r="Q50" s="46"/>
      <c r="R50" s="202"/>
      <c r="S50" s="201"/>
      <c r="T50" s="201"/>
      <c r="U50" s="201"/>
      <c r="V50" s="5"/>
    </row>
    <row r="51" spans="1:22" ht="15" x14ac:dyDescent="0.2">
      <c r="A51" s="5"/>
      <c r="B51" s="197" t="s">
        <v>40</v>
      </c>
      <c r="C51" s="198"/>
      <c r="D51" s="199"/>
      <c r="E51" s="206">
        <f>SUM(E45:F50)</f>
        <v>48</v>
      </c>
      <c r="F51" s="208"/>
      <c r="G51" s="53"/>
      <c r="H51" s="54"/>
      <c r="I51" s="223"/>
      <c r="J51" s="223"/>
      <c r="K51" s="205"/>
      <c r="L51" s="204"/>
      <c r="M51" s="204"/>
      <c r="N51" s="204"/>
      <c r="O51" s="204"/>
      <c r="P51" s="55"/>
      <c r="Q51" s="56"/>
      <c r="R51" s="203"/>
      <c r="S51" s="204"/>
      <c r="T51" s="204"/>
      <c r="U51" s="204"/>
      <c r="V51" s="5"/>
    </row>
  </sheetData>
  <mergeCells count="104">
    <mergeCell ref="A1:V1"/>
    <mergeCell ref="A2:V2"/>
    <mergeCell ref="A6:V6"/>
    <mergeCell ref="B8:C8"/>
    <mergeCell ref="B15:C15"/>
    <mergeCell ref="X32:Y32"/>
    <mergeCell ref="A4:V4"/>
    <mergeCell ref="A31:H31"/>
    <mergeCell ref="Q21:R21"/>
    <mergeCell ref="A30:U30"/>
    <mergeCell ref="I31:V31"/>
    <mergeCell ref="I32:J32"/>
    <mergeCell ref="O32:P32"/>
    <mergeCell ref="B32:C32"/>
    <mergeCell ref="B16:C16"/>
    <mergeCell ref="B19:C19"/>
    <mergeCell ref="B20:O20"/>
    <mergeCell ref="Q20:U20"/>
    <mergeCell ref="B18:C18"/>
    <mergeCell ref="L32:M32"/>
    <mergeCell ref="D15:O15"/>
    <mergeCell ref="D8:O8"/>
    <mergeCell ref="Q43:U43"/>
    <mergeCell ref="R45:U45"/>
    <mergeCell ref="I33:J33"/>
    <mergeCell ref="I34:J34"/>
    <mergeCell ref="I40:J40"/>
    <mergeCell ref="I42:J42"/>
    <mergeCell ref="O33:P33"/>
    <mergeCell ref="O42:P42"/>
    <mergeCell ref="R44:U44"/>
    <mergeCell ref="K44:O44"/>
    <mergeCell ref="L33:M33"/>
    <mergeCell ref="L34:M34"/>
    <mergeCell ref="L35:M35"/>
    <mergeCell ref="L36:M36"/>
    <mergeCell ref="O41:P41"/>
    <mergeCell ref="L42:M42"/>
    <mergeCell ref="O35:P35"/>
    <mergeCell ref="O36:P36"/>
    <mergeCell ref="O37:P37"/>
    <mergeCell ref="O38:P38"/>
    <mergeCell ref="O39:P39"/>
    <mergeCell ref="L37:M37"/>
    <mergeCell ref="L38:M38"/>
    <mergeCell ref="L39:M39"/>
    <mergeCell ref="B33:C33"/>
    <mergeCell ref="B34:C34"/>
    <mergeCell ref="B51:D51"/>
    <mergeCell ref="E50:F50"/>
    <mergeCell ref="E45:F45"/>
    <mergeCell ref="O34:P34"/>
    <mergeCell ref="I45:J45"/>
    <mergeCell ref="A43:H43"/>
    <mergeCell ref="B44:D44"/>
    <mergeCell ref="E44:F44"/>
    <mergeCell ref="K45:O45"/>
    <mergeCell ref="O40:P40"/>
    <mergeCell ref="I43:P43"/>
    <mergeCell ref="I44:J44"/>
    <mergeCell ref="K50:O50"/>
    <mergeCell ref="B40:C40"/>
    <mergeCell ref="E51:F51"/>
    <mergeCell ref="I46:J46"/>
    <mergeCell ref="I47:J47"/>
    <mergeCell ref="I48:J48"/>
    <mergeCell ref="I49:J49"/>
    <mergeCell ref="I50:J50"/>
    <mergeCell ref="I51:J51"/>
    <mergeCell ref="B42:C42"/>
    <mergeCell ref="B45:D45"/>
    <mergeCell ref="R46:U46"/>
    <mergeCell ref="R47:U47"/>
    <mergeCell ref="R49:U49"/>
    <mergeCell ref="R50:U50"/>
    <mergeCell ref="R51:U51"/>
    <mergeCell ref="R48:U48"/>
    <mergeCell ref="K46:O46"/>
    <mergeCell ref="K47:O47"/>
    <mergeCell ref="K48:O48"/>
    <mergeCell ref="K49:O49"/>
    <mergeCell ref="K51:O51"/>
    <mergeCell ref="B49:D49"/>
    <mergeCell ref="B50:D50"/>
    <mergeCell ref="E46:F46"/>
    <mergeCell ref="E47:F47"/>
    <mergeCell ref="E48:F48"/>
    <mergeCell ref="E49:F49"/>
    <mergeCell ref="B46:D46"/>
    <mergeCell ref="B47:D47"/>
    <mergeCell ref="B48:D48"/>
    <mergeCell ref="L40:M40"/>
    <mergeCell ref="I41:J41"/>
    <mergeCell ref="L41:M41"/>
    <mergeCell ref="I39:J39"/>
    <mergeCell ref="B39:C39"/>
    <mergeCell ref="B35:C35"/>
    <mergeCell ref="B36:C36"/>
    <mergeCell ref="B37:C37"/>
    <mergeCell ref="B38:C38"/>
    <mergeCell ref="I35:J35"/>
    <mergeCell ref="I36:J36"/>
    <mergeCell ref="I37:J37"/>
    <mergeCell ref="I38:J38"/>
  </mergeCells>
  <printOptions horizontalCentered="1"/>
  <pageMargins left="0.7" right="0.7" top="0.75" bottom="0.75" header="0.3" footer="0.3"/>
  <pageSetup scale="53" orientation="landscape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opLeftCell="A3" workbookViewId="0">
      <selection activeCell="L9" sqref="L9"/>
    </sheetView>
  </sheetViews>
  <sheetFormatPr baseColWidth="10" defaultColWidth="10.33203125" defaultRowHeight="13" outlineLevelRow="1" x14ac:dyDescent="0.15"/>
  <cols>
    <col min="1" max="1" width="1.1640625" style="47" customWidth="1"/>
    <col min="2" max="2" width="11.6640625" style="47" customWidth="1"/>
    <col min="3" max="3" width="16.33203125" style="47" customWidth="1"/>
    <col min="4" max="4" width="12.5" style="47" bestFit="1" customWidth="1"/>
    <col min="5" max="5" width="12.6640625" style="47" customWidth="1"/>
    <col min="6" max="7" width="11.5" style="47" bestFit="1" customWidth="1"/>
    <col min="8" max="8" width="11.5" style="2" bestFit="1" customWidth="1"/>
    <col min="9" max="9" width="11.6640625" style="47" bestFit="1" customWidth="1"/>
    <col min="10" max="10" width="11.5" style="47" bestFit="1" customWidth="1"/>
    <col min="11" max="11" width="11.5" style="47" customWidth="1"/>
    <col min="12" max="12" width="11.5" style="47" bestFit="1" customWidth="1"/>
    <col min="13" max="13" width="11.1640625" style="47" customWidth="1"/>
    <col min="14" max="14" width="12.5" style="47" customWidth="1"/>
    <col min="15" max="15" width="10.5" style="47" customWidth="1"/>
    <col min="16" max="16" width="1.1640625" style="47" customWidth="1"/>
    <col min="17" max="17" width="14.33203125" style="47" customWidth="1"/>
    <col min="18" max="18" width="10.6640625" style="47" customWidth="1"/>
    <col min="19" max="19" width="12" style="47" bestFit="1" customWidth="1"/>
    <col min="20" max="20" width="14.33203125" style="7" customWidth="1"/>
    <col min="21" max="21" width="9.6640625" style="47" customWidth="1"/>
    <col min="22" max="22" width="0.83203125" style="47" customWidth="1"/>
    <col min="23" max="25" width="10.33203125" style="22"/>
    <col min="26" max="16384" width="10.33203125" style="47"/>
  </cols>
  <sheetData>
    <row r="1" spans="1:25" ht="27.75" customHeight="1" x14ac:dyDescent="0.3">
      <c r="A1" s="237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</row>
    <row r="2" spans="1:25" ht="19.5" customHeight="1" x14ac:dyDescent="0.25">
      <c r="A2" s="239" t="s">
        <v>93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5" ht="25.5" customHeight="1" thickBot="1" x14ac:dyDescent="0.25">
      <c r="A3" s="25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5" ht="18.75" customHeight="1" thickBot="1" x14ac:dyDescent="0.25">
      <c r="A4" s="245" t="s">
        <v>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</row>
    <row r="5" spans="1:25" s="22" customFormat="1" ht="2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5" ht="15" x14ac:dyDescent="0.2">
      <c r="A6" s="214" t="s">
        <v>33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</row>
    <row r="7" spans="1:25" s="29" customFormat="1" x14ac:dyDescent="0.15">
      <c r="A7" s="14"/>
      <c r="D7" s="29" t="s">
        <v>18</v>
      </c>
      <c r="E7" s="29" t="s">
        <v>24</v>
      </c>
      <c r="F7" s="12" t="s">
        <v>25</v>
      </c>
      <c r="G7" s="12" t="s">
        <v>23</v>
      </c>
      <c r="H7" s="29" t="s">
        <v>26</v>
      </c>
      <c r="I7" s="29" t="s">
        <v>27</v>
      </c>
      <c r="J7" s="29" t="s">
        <v>28</v>
      </c>
      <c r="K7" s="29" t="s">
        <v>29</v>
      </c>
      <c r="L7" s="29" t="s">
        <v>22</v>
      </c>
      <c r="M7" s="29" t="s">
        <v>19</v>
      </c>
      <c r="N7" s="29" t="s">
        <v>20</v>
      </c>
      <c r="O7" s="29" t="s">
        <v>21</v>
      </c>
      <c r="P7" s="40"/>
      <c r="Q7" s="29" t="s">
        <v>31</v>
      </c>
      <c r="R7" s="29" t="s">
        <v>15</v>
      </c>
      <c r="S7" s="29" t="s">
        <v>30</v>
      </c>
      <c r="T7" s="29" t="s">
        <v>32</v>
      </c>
      <c r="V7" s="14"/>
      <c r="W7" s="15"/>
      <c r="X7" s="15"/>
      <c r="Y7" s="15"/>
    </row>
    <row r="8" spans="1:25" s="29" customFormat="1" ht="13.5" customHeight="1" x14ac:dyDescent="0.2">
      <c r="A8" s="14"/>
      <c r="B8" s="242" t="s">
        <v>44</v>
      </c>
      <c r="C8" s="242"/>
      <c r="D8" s="260" t="s">
        <v>31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40"/>
      <c r="V8" s="14"/>
      <c r="W8" s="15"/>
      <c r="X8" s="15"/>
      <c r="Y8" s="15"/>
    </row>
    <row r="9" spans="1:25" ht="15" x14ac:dyDescent="0.2">
      <c r="A9" s="5"/>
      <c r="B9" s="47" t="s">
        <v>16</v>
      </c>
      <c r="D9" s="33">
        <f>D10+D11</f>
        <v>479514</v>
      </c>
      <c r="E9" s="33">
        <f>E10+E11</f>
        <v>244266</v>
      </c>
      <c r="F9" s="33">
        <f>F10+F11</f>
        <v>213678</v>
      </c>
      <c r="G9" s="33">
        <f>G10+G11</f>
        <v>242830</v>
      </c>
      <c r="H9" s="33">
        <f>H10+H11</f>
        <v>335463</v>
      </c>
      <c r="I9" s="32">
        <f t="shared" ref="I9:O9" si="0">SUM(I10:I11)</f>
        <v>255979</v>
      </c>
      <c r="J9" s="33">
        <f t="shared" si="0"/>
        <v>220741</v>
      </c>
      <c r="K9" s="33">
        <f t="shared" si="0"/>
        <v>253166</v>
      </c>
      <c r="L9" s="33">
        <f t="shared" si="0"/>
        <v>237574.88</v>
      </c>
      <c r="M9" s="33">
        <f t="shared" si="0"/>
        <v>239458</v>
      </c>
      <c r="N9" s="33">
        <f t="shared" si="0"/>
        <v>383470</v>
      </c>
      <c r="O9" s="33">
        <f t="shared" si="0"/>
        <v>411275.47</v>
      </c>
      <c r="P9" s="41"/>
      <c r="Q9" s="48">
        <f>SUM(D9:O9)</f>
        <v>3517415.3499999996</v>
      </c>
      <c r="R9" s="33">
        <f>R10+R11</f>
        <v>3464897</v>
      </c>
      <c r="S9" s="63">
        <f>Q9-R9</f>
        <v>52518.349999999627</v>
      </c>
      <c r="T9" s="9">
        <f>S9/R9</f>
        <v>1.515726152898618E-2</v>
      </c>
      <c r="U9" s="13"/>
      <c r="V9" s="5"/>
    </row>
    <row r="10" spans="1:25" ht="15" customHeight="1" outlineLevel="1" x14ac:dyDescent="0.15">
      <c r="A10" s="5"/>
      <c r="B10" s="28" t="s">
        <v>42</v>
      </c>
      <c r="D10" s="63">
        <v>-19212</v>
      </c>
      <c r="E10" s="33">
        <f>134996+8916+19212</f>
        <v>163124</v>
      </c>
      <c r="F10" s="38">
        <f>134278+6653</f>
        <v>140931</v>
      </c>
      <c r="G10" s="33">
        <f>11081+134556+1</f>
        <v>145638</v>
      </c>
      <c r="H10" s="33">
        <f>125511+8428</f>
        <v>133939</v>
      </c>
      <c r="I10" s="33">
        <f>135149+8769</f>
        <v>143918</v>
      </c>
      <c r="J10" s="33">
        <f>132834+8769+1</f>
        <v>141604</v>
      </c>
      <c r="K10" s="38">
        <f>132834+7915+21020</f>
        <v>161769</v>
      </c>
      <c r="L10" s="38">
        <f>118088.65+7380.7+8647.31+4190.22</f>
        <v>138306.88</v>
      </c>
      <c r="M10" s="38">
        <v>130967</v>
      </c>
      <c r="N10" s="38">
        <v>148224</v>
      </c>
      <c r="O10" s="38">
        <v>365571.36</v>
      </c>
      <c r="P10" s="41"/>
      <c r="Q10" s="48">
        <f>SUM(D10:O10)</f>
        <v>1794780.2399999998</v>
      </c>
      <c r="R10" s="33">
        <v>1735095</v>
      </c>
      <c r="S10" s="33"/>
      <c r="T10" s="9"/>
      <c r="U10" s="13"/>
      <c r="V10" s="5"/>
    </row>
    <row r="11" spans="1:25" ht="15" customHeight="1" outlineLevel="1" x14ac:dyDescent="0.15">
      <c r="A11" s="5"/>
      <c r="B11" s="47" t="s">
        <v>55</v>
      </c>
      <c r="D11" s="33">
        <v>498726</v>
      </c>
      <c r="E11" s="33">
        <v>81142</v>
      </c>
      <c r="F11" s="38">
        <v>72747</v>
      </c>
      <c r="G11" s="33">
        <v>97192</v>
      </c>
      <c r="H11" s="33">
        <v>201524</v>
      </c>
      <c r="I11" s="33">
        <v>112061</v>
      </c>
      <c r="J11" s="33">
        <v>79137</v>
      </c>
      <c r="K11" s="38">
        <v>91397</v>
      </c>
      <c r="L11" s="38">
        <v>99268</v>
      </c>
      <c r="M11" s="38">
        <v>108491</v>
      </c>
      <c r="N11" s="38">
        <v>235246</v>
      </c>
      <c r="O11" s="38">
        <v>45704.11</v>
      </c>
      <c r="P11" s="41"/>
      <c r="Q11" s="48">
        <f>SUM(D11:O11)</f>
        <v>1722635.11</v>
      </c>
      <c r="R11" s="33">
        <v>1729802</v>
      </c>
      <c r="S11" s="33"/>
      <c r="T11" s="9"/>
      <c r="U11" s="13"/>
      <c r="V11" s="5"/>
    </row>
    <row r="12" spans="1:25" x14ac:dyDescent="0.15">
      <c r="A12" s="5"/>
      <c r="B12" s="47" t="s">
        <v>17</v>
      </c>
      <c r="D12" s="36">
        <v>175988</v>
      </c>
      <c r="E12" s="36">
        <v>263547</v>
      </c>
      <c r="F12" s="36">
        <v>282627</v>
      </c>
      <c r="G12" s="36">
        <v>342117</v>
      </c>
      <c r="H12" s="36">
        <v>290620</v>
      </c>
      <c r="I12" s="36">
        <v>258280</v>
      </c>
      <c r="J12" s="36">
        <v>260914</v>
      </c>
      <c r="K12" s="39">
        <v>178138</v>
      </c>
      <c r="L12" s="39">
        <v>307468</v>
      </c>
      <c r="M12" s="39">
        <v>288934</v>
      </c>
      <c r="N12" s="39">
        <v>283770</v>
      </c>
      <c r="O12" s="39">
        <v>399070.21</v>
      </c>
      <c r="P12" s="42"/>
      <c r="Q12" s="36">
        <f>SUM(D12:O12)</f>
        <v>3331473.21</v>
      </c>
      <c r="R12" s="36">
        <v>3464897</v>
      </c>
      <c r="S12" s="65">
        <f>R12-Q12</f>
        <v>133423.79000000004</v>
      </c>
      <c r="T12" s="16">
        <f>S12/R12</f>
        <v>3.8507288961259177E-2</v>
      </c>
      <c r="U12" s="13"/>
      <c r="V12" s="5"/>
    </row>
    <row r="13" spans="1:25" x14ac:dyDescent="0.15">
      <c r="A13" s="5"/>
      <c r="B13" s="47" t="s">
        <v>65</v>
      </c>
      <c r="D13" s="63">
        <f>D9-D12</f>
        <v>303526</v>
      </c>
      <c r="E13" s="91">
        <f>E9-E12</f>
        <v>-19281</v>
      </c>
      <c r="F13" s="63">
        <f t="shared" ref="F13:R13" si="1">F9-F12</f>
        <v>-68949</v>
      </c>
      <c r="G13" s="63">
        <f t="shared" si="1"/>
        <v>-99287</v>
      </c>
      <c r="H13" s="63">
        <f t="shared" si="1"/>
        <v>44843</v>
      </c>
      <c r="I13" s="63">
        <f t="shared" si="1"/>
        <v>-2301</v>
      </c>
      <c r="J13" s="63">
        <f t="shared" si="1"/>
        <v>-40173</v>
      </c>
      <c r="K13" s="63">
        <f t="shared" si="1"/>
        <v>75028</v>
      </c>
      <c r="L13" s="63">
        <f t="shared" si="1"/>
        <v>-69893.119999999995</v>
      </c>
      <c r="M13" s="63">
        <f t="shared" si="1"/>
        <v>-49476</v>
      </c>
      <c r="N13" s="63">
        <f t="shared" si="1"/>
        <v>99700</v>
      </c>
      <c r="O13" s="63">
        <f t="shared" si="1"/>
        <v>12205.259999999951</v>
      </c>
      <c r="P13" s="41">
        <f t="shared" si="1"/>
        <v>0</v>
      </c>
      <c r="Q13" s="91">
        <f t="shared" si="1"/>
        <v>185942.13999999966</v>
      </c>
      <c r="R13" s="33">
        <f t="shared" si="1"/>
        <v>0</v>
      </c>
      <c r="S13" s="63">
        <f>S9+S12</f>
        <v>185942.13999999966</v>
      </c>
      <c r="T13" s="62" t="e">
        <f>S13/R13</f>
        <v>#DIV/0!</v>
      </c>
      <c r="U13" s="13"/>
      <c r="V13" s="5"/>
    </row>
    <row r="14" spans="1:25" x14ac:dyDescent="0.15">
      <c r="A14" s="5"/>
      <c r="E14" s="13"/>
      <c r="F14" s="13"/>
      <c r="G14" s="13"/>
      <c r="H14" s="13"/>
      <c r="I14" s="13"/>
      <c r="J14" s="13"/>
      <c r="O14" s="13"/>
      <c r="P14" s="43"/>
      <c r="Q14" s="13"/>
      <c r="R14" s="13"/>
      <c r="S14" s="13"/>
      <c r="T14" s="9"/>
      <c r="U14" s="13"/>
      <c r="V14" s="5"/>
    </row>
    <row r="15" spans="1:25" ht="15" customHeight="1" x14ac:dyDescent="0.15">
      <c r="A15" s="5"/>
      <c r="B15" s="254" t="s">
        <v>88</v>
      </c>
      <c r="C15" s="254"/>
      <c r="D15" s="30">
        <v>175759</v>
      </c>
      <c r="E15" s="72">
        <v>185076</v>
      </c>
      <c r="F15" s="72">
        <v>128828</v>
      </c>
      <c r="G15" s="72">
        <v>94831</v>
      </c>
      <c r="H15" s="72">
        <v>184044</v>
      </c>
      <c r="I15" s="72">
        <v>165013</v>
      </c>
      <c r="J15" s="72">
        <v>185257</v>
      </c>
      <c r="K15" s="72">
        <v>328879</v>
      </c>
      <c r="L15" s="72">
        <v>437338</v>
      </c>
      <c r="M15" s="72">
        <v>421678</v>
      </c>
      <c r="N15" s="72">
        <v>430322.36</v>
      </c>
      <c r="O15" s="72">
        <v>559502</v>
      </c>
      <c r="P15" s="43"/>
      <c r="Q15" s="48">
        <v>559502</v>
      </c>
      <c r="R15" s="73">
        <v>150873</v>
      </c>
      <c r="S15" s="48">
        <f>Q15-R15</f>
        <v>408629</v>
      </c>
      <c r="T15" s="74">
        <f>S15/R15</f>
        <v>2.7084302691667825</v>
      </c>
      <c r="U15" s="13"/>
      <c r="V15" s="5"/>
    </row>
    <row r="16" spans="1:25" ht="15" customHeight="1" x14ac:dyDescent="0.15">
      <c r="A16" s="5"/>
      <c r="B16" s="254"/>
      <c r="C16" s="254"/>
      <c r="D16" s="7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3"/>
      <c r="Q16" s="92"/>
      <c r="R16" s="38"/>
      <c r="S16" s="91"/>
      <c r="T16" s="9"/>
      <c r="U16" s="13"/>
      <c r="V16" s="5"/>
    </row>
    <row r="17" spans="1:25" ht="15" x14ac:dyDescent="0.2">
      <c r="A17" s="5"/>
      <c r="B17" s="214" t="s">
        <v>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5"/>
      <c r="Q17" s="255"/>
      <c r="R17" s="241"/>
      <c r="S17" s="241"/>
      <c r="T17" s="241"/>
      <c r="U17" s="241"/>
      <c r="V17" s="5"/>
    </row>
    <row r="18" spans="1:25" ht="15" x14ac:dyDescent="0.2">
      <c r="A18" s="5"/>
      <c r="B18" s="4" t="s">
        <v>7</v>
      </c>
      <c r="F18" s="4" t="s">
        <v>8</v>
      </c>
      <c r="G18" s="29" t="s">
        <v>84</v>
      </c>
      <c r="H18" s="29" t="s">
        <v>85</v>
      </c>
      <c r="I18" s="29" t="s">
        <v>86</v>
      </c>
      <c r="J18" s="29" t="s">
        <v>87</v>
      </c>
      <c r="K18" s="78"/>
      <c r="P18" s="5"/>
      <c r="Q18" s="248"/>
      <c r="R18" s="249"/>
      <c r="S18" s="87"/>
      <c r="T18" s="87"/>
      <c r="U18" s="87"/>
      <c r="V18" s="5"/>
    </row>
    <row r="19" spans="1:25" x14ac:dyDescent="0.15">
      <c r="A19" s="5"/>
      <c r="B19" s="47" t="s">
        <v>0</v>
      </c>
      <c r="F19" s="31" t="s">
        <v>9</v>
      </c>
      <c r="G19" s="52">
        <f>373110/102817</f>
        <v>3.6288746024490113</v>
      </c>
      <c r="H19" s="52">
        <f>380087/139678</f>
        <v>2.7211658242529246</v>
      </c>
      <c r="I19" s="59">
        <f>593558/321661</f>
        <v>1.8452905387970566</v>
      </c>
      <c r="J19" s="93">
        <f>817060.82/464113.06</f>
        <v>1.7604779749141297</v>
      </c>
      <c r="K19" s="57"/>
      <c r="P19" s="5"/>
      <c r="S19" s="7"/>
      <c r="V19" s="5"/>
    </row>
    <row r="20" spans="1:25" x14ac:dyDescent="0.15">
      <c r="A20" s="5"/>
      <c r="B20" s="47" t="s">
        <v>1</v>
      </c>
      <c r="F20" s="31" t="s">
        <v>10</v>
      </c>
      <c r="G20" s="52">
        <f>4264581/423321</f>
        <v>10.074106883428888</v>
      </c>
      <c r="H20" s="52">
        <f>4263016/395464</f>
        <v>10.779782736228835</v>
      </c>
      <c r="I20" s="59">
        <f>4521177/287377</f>
        <v>15.732563844705735</v>
      </c>
      <c r="J20" s="93">
        <f>4663629.11/345389.68</f>
        <v>13.502514348431026</v>
      </c>
      <c r="K20" s="57"/>
      <c r="P20" s="5"/>
      <c r="S20" s="7"/>
      <c r="V20" s="5"/>
    </row>
    <row r="21" spans="1:25" x14ac:dyDescent="0.15">
      <c r="A21" s="5"/>
      <c r="B21" s="47" t="s">
        <v>69</v>
      </c>
      <c r="F21" s="31" t="s">
        <v>11</v>
      </c>
      <c r="G21" s="75">
        <f>128828/(656650/91.25)</f>
        <v>17.902314779562932</v>
      </c>
      <c r="H21" s="75">
        <f>165013/(1500210/182.5)</f>
        <v>20.073771338679251</v>
      </c>
      <c r="I21" s="76">
        <f>437338/(2353522/365)</f>
        <v>67.825314571098119</v>
      </c>
      <c r="J21" s="94">
        <f>(559501.92/(3331472.1/365))</f>
        <v>61.299688146870572</v>
      </c>
      <c r="K21" s="57"/>
      <c r="P21" s="5"/>
      <c r="S21" s="7"/>
      <c r="T21" s="10"/>
      <c r="V21" s="5"/>
    </row>
    <row r="22" spans="1:25" x14ac:dyDescent="0.15">
      <c r="A22" s="5"/>
      <c r="B22" s="47" t="s">
        <v>53</v>
      </c>
      <c r="F22" s="31" t="s">
        <v>12</v>
      </c>
      <c r="G22" s="23">
        <f>264875/921525</f>
        <v>0.28743116030492932</v>
      </c>
      <c r="H22" s="23">
        <f>237017/1737227</f>
        <v>0.13643409871018583</v>
      </c>
      <c r="I22" s="60">
        <f>128931/2482452</f>
        <v>5.1936955880717936E-2</v>
      </c>
      <c r="J22" s="95">
        <f>185943.05/3517415.15</f>
        <v>5.2863549530114462E-2</v>
      </c>
      <c r="K22" s="57"/>
      <c r="P22" s="5"/>
      <c r="S22" s="7"/>
      <c r="T22" s="11"/>
      <c r="V22" s="5"/>
    </row>
    <row r="23" spans="1:25" x14ac:dyDescent="0.15">
      <c r="A23" s="5"/>
      <c r="B23" s="47" t="s">
        <v>2</v>
      </c>
      <c r="F23" s="31" t="s">
        <v>12</v>
      </c>
      <c r="G23" s="23">
        <f>423321/656650</f>
        <v>0.64466763115815118</v>
      </c>
      <c r="H23" s="23">
        <f>395464/1500210</f>
        <v>0.26360576186000628</v>
      </c>
      <c r="I23" s="60">
        <f>287377/2353522</f>
        <v>0.12210508336017255</v>
      </c>
      <c r="J23" s="95">
        <f>345389.68/3331472.1</f>
        <v>0.10367479289410828</v>
      </c>
      <c r="K23" s="57"/>
      <c r="P23" s="5"/>
      <c r="S23" s="7"/>
      <c r="T23" s="11"/>
      <c r="V23" s="5"/>
    </row>
    <row r="24" spans="1:25" x14ac:dyDescent="0.15">
      <c r="A24" s="5"/>
      <c r="B24" s="47" t="s">
        <v>3</v>
      </c>
      <c r="F24" s="23">
        <v>0.1</v>
      </c>
      <c r="G24" s="23">
        <f>(6469+2886+1424)/(460056+254705+210818)</f>
        <v>1.1645683404658057E-2</v>
      </c>
      <c r="H24" s="23">
        <f>(154962+20667)/1737227</f>
        <v>0.10109732349313014</v>
      </c>
      <c r="I24" s="60">
        <f>(110906+53689+25288+47111)/2482452</f>
        <v>9.5467706928472326E-2</v>
      </c>
      <c r="J24" s="95">
        <f>(165045.36+48510.76+185947.47+2625.36+7500+13648.26+2500)/3517415.15</f>
        <v>0.12104832436398642</v>
      </c>
      <c r="K24" s="57"/>
      <c r="P24" s="5"/>
      <c r="S24" s="7"/>
      <c r="T24" s="11"/>
      <c r="V24" s="5"/>
    </row>
    <row r="25" spans="1:25" ht="15" x14ac:dyDescent="0.2">
      <c r="A25" s="5"/>
      <c r="B25" s="47" t="s">
        <v>4</v>
      </c>
      <c r="F25" s="31" t="s">
        <v>13</v>
      </c>
      <c r="G25" s="23">
        <f>(46537+132276+143764+13482+26520+27610)/(136896+251429+268669)</f>
        <v>0.59390040091690333</v>
      </c>
      <c r="H25" s="58">
        <f>(535054+68461+8202+133020+12568+52246)/1500210</f>
        <v>0.53962511914998568</v>
      </c>
      <c r="I25" s="60">
        <f>(775431+161601+182711+180034+48870+17568+1422+73886+13700)/2353522</f>
        <v>0.61831714341314847</v>
      </c>
      <c r="J25" s="95">
        <f>(1131770.24+230836.39+138943.39+15627.27+11471.41+257500.03+65612.73+25678.18+2053.09+111732.04+19031.79)/3331472.1</f>
        <v>0.60341389621723085</v>
      </c>
      <c r="K25" s="57"/>
      <c r="P25" s="5"/>
      <c r="S25" s="7"/>
      <c r="V25" s="5"/>
    </row>
    <row r="26" spans="1:25" x14ac:dyDescent="0.15">
      <c r="A26" s="5"/>
      <c r="B26" s="47" t="s">
        <v>5</v>
      </c>
      <c r="F26" s="31"/>
      <c r="G26" s="23">
        <f>(11318+10796+14273)/(136896+251429+268669)</f>
        <v>5.5384067434405791E-2</v>
      </c>
      <c r="H26" s="23">
        <f>(62423+17077)/1500210</f>
        <v>5.299258103865459E-2</v>
      </c>
      <c r="I26" s="60">
        <f>(97927+5334+43723)/2353522</f>
        <v>6.2452783530385525E-2</v>
      </c>
      <c r="J26" s="95">
        <f>(130872.89+6184.37+37413.62)/3331472.1</f>
        <v>5.2370506119501947E-2</v>
      </c>
      <c r="K26" s="57"/>
      <c r="P26" s="5"/>
      <c r="Q26" s="22"/>
      <c r="V26" s="5"/>
    </row>
    <row r="27" spans="1:25" ht="16" x14ac:dyDescent="0.2">
      <c r="A27" s="250" t="s">
        <v>34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6"/>
    </row>
    <row r="28" spans="1:25" ht="15" x14ac:dyDescent="0.2">
      <c r="A28" s="214" t="s">
        <v>70</v>
      </c>
      <c r="B28" s="215"/>
      <c r="C28" s="215"/>
      <c r="D28" s="215"/>
      <c r="E28" s="215"/>
      <c r="F28" s="215"/>
      <c r="G28" s="215"/>
      <c r="H28" s="215"/>
      <c r="I28" s="214" t="s">
        <v>76</v>
      </c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</row>
    <row r="29" spans="1:25" ht="15" x14ac:dyDescent="0.2">
      <c r="A29" s="5"/>
      <c r="B29" s="209"/>
      <c r="C29" s="210"/>
      <c r="D29" s="98" t="s">
        <v>91</v>
      </c>
      <c r="E29" s="99" t="s">
        <v>92</v>
      </c>
      <c r="F29" s="69"/>
      <c r="G29" s="68"/>
      <c r="H29" s="69"/>
      <c r="I29" s="217"/>
      <c r="J29" s="217"/>
      <c r="K29" s="90"/>
      <c r="L29" s="257"/>
      <c r="M29" s="192"/>
      <c r="N29" s="90" t="s">
        <v>15</v>
      </c>
      <c r="O29" s="252" t="s">
        <v>31</v>
      </c>
      <c r="P29" s="253"/>
      <c r="Q29" s="90" t="s">
        <v>71</v>
      </c>
      <c r="R29" s="90" t="s">
        <v>72</v>
      </c>
      <c r="S29" s="90" t="s">
        <v>73</v>
      </c>
      <c r="T29" s="90"/>
      <c r="U29" s="90"/>
      <c r="V29" s="5"/>
      <c r="X29" s="243"/>
      <c r="Y29" s="244"/>
    </row>
    <row r="30" spans="1:25" ht="15" x14ac:dyDescent="0.2">
      <c r="A30" s="5"/>
      <c r="B30" s="263" t="s">
        <v>56</v>
      </c>
      <c r="C30" s="264"/>
      <c r="D30" s="79">
        <v>38</v>
      </c>
      <c r="E30" s="97">
        <v>36.85</v>
      </c>
      <c r="F30" s="69"/>
      <c r="G30" s="68"/>
      <c r="H30" s="69"/>
      <c r="I30" s="228"/>
      <c r="J30" s="229"/>
      <c r="K30" s="79"/>
      <c r="L30" s="235" t="s">
        <v>74</v>
      </c>
      <c r="M30" s="192"/>
      <c r="N30" s="81">
        <v>13</v>
      </c>
      <c r="O30" s="231">
        <v>13</v>
      </c>
      <c r="P30" s="232"/>
      <c r="Q30" s="81">
        <v>1</v>
      </c>
      <c r="R30" s="81">
        <v>5</v>
      </c>
      <c r="S30" s="81">
        <v>7</v>
      </c>
      <c r="T30" s="79"/>
      <c r="U30" s="79"/>
      <c r="V30" s="5"/>
    </row>
    <row r="31" spans="1:25" ht="15" x14ac:dyDescent="0.2">
      <c r="A31" s="5"/>
      <c r="B31" s="263" t="s">
        <v>57</v>
      </c>
      <c r="C31" s="264"/>
      <c r="D31" s="79">
        <v>34</v>
      </c>
      <c r="E31" s="97">
        <v>33.32</v>
      </c>
      <c r="F31" s="69"/>
      <c r="G31" s="68"/>
      <c r="H31" s="69"/>
      <c r="I31" s="228"/>
      <c r="J31" s="229"/>
      <c r="K31" s="61"/>
      <c r="L31" s="236" t="s">
        <v>75</v>
      </c>
      <c r="M31" s="192"/>
      <c r="N31" s="81">
        <v>76</v>
      </c>
      <c r="O31" s="231">
        <v>77</v>
      </c>
      <c r="P31" s="232"/>
      <c r="Q31" s="81">
        <v>6</v>
      </c>
      <c r="R31" s="81">
        <v>41</v>
      </c>
      <c r="S31" s="81">
        <v>30</v>
      </c>
      <c r="T31" s="61"/>
      <c r="U31" s="61"/>
      <c r="V31" s="5"/>
    </row>
    <row r="32" spans="1:25" ht="15" x14ac:dyDescent="0.2">
      <c r="A32" s="5"/>
      <c r="B32" s="263" t="s">
        <v>58</v>
      </c>
      <c r="C32" s="264"/>
      <c r="D32" s="79">
        <v>44.625</v>
      </c>
      <c r="E32" s="97">
        <v>44.25</v>
      </c>
      <c r="F32" s="69"/>
      <c r="G32" s="68"/>
      <c r="H32" s="69"/>
      <c r="I32" s="193"/>
      <c r="J32" s="194"/>
      <c r="K32" s="61"/>
      <c r="L32" s="236" t="s">
        <v>77</v>
      </c>
      <c r="M32" s="192"/>
      <c r="N32" s="81">
        <v>112</v>
      </c>
      <c r="O32" s="261">
        <v>111</v>
      </c>
      <c r="P32" s="262"/>
      <c r="Q32" s="79"/>
      <c r="R32" s="79"/>
      <c r="S32" s="79"/>
      <c r="T32" s="61"/>
      <c r="U32" s="61"/>
      <c r="V32" s="5"/>
    </row>
    <row r="33" spans="1:25" ht="15" x14ac:dyDescent="0.2">
      <c r="A33" s="5"/>
      <c r="B33" s="263" t="s">
        <v>59</v>
      </c>
      <c r="C33" s="264"/>
      <c r="D33" s="79">
        <v>28</v>
      </c>
      <c r="E33" s="97">
        <v>28</v>
      </c>
      <c r="F33" s="69"/>
      <c r="G33" s="68"/>
      <c r="H33" s="69"/>
      <c r="I33" s="193"/>
      <c r="J33" s="194"/>
      <c r="K33" s="61"/>
      <c r="L33" s="236" t="s">
        <v>78</v>
      </c>
      <c r="M33" s="192"/>
      <c r="N33" s="81">
        <v>85</v>
      </c>
      <c r="O33" s="261">
        <v>83</v>
      </c>
      <c r="P33" s="262"/>
      <c r="Q33" s="79"/>
      <c r="R33" s="79"/>
      <c r="S33" s="79"/>
      <c r="T33" s="61"/>
      <c r="U33" s="61"/>
      <c r="V33" s="5"/>
    </row>
    <row r="34" spans="1:25" ht="15" x14ac:dyDescent="0.2">
      <c r="A34" s="5"/>
      <c r="B34" s="263" t="s">
        <v>90</v>
      </c>
      <c r="C34" s="264"/>
      <c r="D34" s="79">
        <v>37</v>
      </c>
      <c r="E34" s="97">
        <v>36.47</v>
      </c>
      <c r="F34" s="69"/>
      <c r="G34" s="68"/>
      <c r="H34" s="69"/>
      <c r="I34" s="193"/>
      <c r="J34" s="194"/>
      <c r="K34" s="61"/>
      <c r="L34" s="236" t="s">
        <v>79</v>
      </c>
      <c r="M34" s="192"/>
      <c r="N34" s="81">
        <v>39</v>
      </c>
      <c r="O34" s="261">
        <v>36</v>
      </c>
      <c r="P34" s="262"/>
      <c r="Q34" s="79"/>
      <c r="R34" s="79"/>
      <c r="S34" s="79"/>
      <c r="T34" s="61"/>
      <c r="U34" s="61"/>
      <c r="V34" s="5"/>
    </row>
    <row r="35" spans="1:25" ht="15" x14ac:dyDescent="0.2">
      <c r="A35" s="5"/>
      <c r="B35" s="263" t="s">
        <v>61</v>
      </c>
      <c r="C35" s="264"/>
      <c r="D35" s="79">
        <v>18.702000000000002</v>
      </c>
      <c r="E35" s="97">
        <v>18.795000000000002</v>
      </c>
      <c r="F35" s="69"/>
      <c r="G35" s="68"/>
      <c r="H35" s="69"/>
      <c r="I35" s="193"/>
      <c r="J35" s="194"/>
      <c r="K35" s="61"/>
      <c r="L35" s="236" t="s">
        <v>80</v>
      </c>
      <c r="M35" s="192"/>
      <c r="N35" s="96">
        <f>SUM(N30:N34)</f>
        <v>325</v>
      </c>
      <c r="O35" s="231">
        <f>SUM(O30:P34)</f>
        <v>320</v>
      </c>
      <c r="P35" s="262"/>
      <c r="Q35" s="79"/>
      <c r="R35" s="79"/>
      <c r="S35" s="79"/>
      <c r="T35" s="61"/>
      <c r="U35" s="61"/>
      <c r="V35" s="5"/>
    </row>
    <row r="36" spans="1:25" ht="15" x14ac:dyDescent="0.2">
      <c r="A36" s="5"/>
      <c r="B36" s="263" t="s">
        <v>62</v>
      </c>
      <c r="C36" s="264"/>
      <c r="D36" s="79">
        <v>17</v>
      </c>
      <c r="E36" s="97">
        <v>17</v>
      </c>
      <c r="F36" s="69"/>
      <c r="G36" s="68"/>
      <c r="H36" s="69"/>
      <c r="I36" s="193"/>
      <c r="J36" s="194"/>
      <c r="K36" s="61"/>
      <c r="L36" s="236"/>
      <c r="M36" s="192"/>
      <c r="N36" s="61"/>
      <c r="O36" s="219"/>
      <c r="P36" s="220"/>
      <c r="Q36" s="61"/>
      <c r="R36" s="61"/>
      <c r="S36" s="61"/>
      <c r="T36" s="61"/>
      <c r="U36" s="61"/>
      <c r="V36" s="5"/>
    </row>
    <row r="37" spans="1:25" ht="15" x14ac:dyDescent="0.2">
      <c r="A37" s="5"/>
      <c r="B37" s="263" t="s">
        <v>63</v>
      </c>
      <c r="C37" s="264"/>
      <c r="D37" s="79">
        <v>17.420999999999999</v>
      </c>
      <c r="E37" s="97">
        <v>17.167999999999999</v>
      </c>
      <c r="F37" s="69"/>
      <c r="G37" s="68"/>
      <c r="H37" s="69"/>
      <c r="I37" s="193"/>
      <c r="J37" s="194"/>
      <c r="K37" s="31"/>
      <c r="L37" s="191"/>
      <c r="M37" s="192"/>
      <c r="N37" s="31"/>
      <c r="O37" s="219"/>
      <c r="P37" s="220"/>
      <c r="Q37" s="31"/>
      <c r="R37" s="31"/>
      <c r="S37" s="31"/>
      <c r="T37" s="31"/>
      <c r="U37" s="31"/>
      <c r="V37" s="5"/>
    </row>
    <row r="38" spans="1:25" ht="16.5" customHeight="1" x14ac:dyDescent="0.2">
      <c r="A38" s="5"/>
      <c r="B38" s="263" t="s">
        <v>64</v>
      </c>
      <c r="C38" s="264"/>
      <c r="D38" s="79">
        <v>2</v>
      </c>
      <c r="E38" s="97">
        <v>2</v>
      </c>
      <c r="F38" s="69"/>
      <c r="G38" s="68"/>
      <c r="H38" s="69"/>
      <c r="I38" s="193"/>
      <c r="J38" s="194"/>
      <c r="K38" s="31"/>
      <c r="L38" s="191"/>
      <c r="M38" s="192"/>
      <c r="N38" s="31"/>
      <c r="O38" s="219"/>
      <c r="P38" s="220"/>
      <c r="Q38" s="31"/>
      <c r="R38" s="31"/>
      <c r="S38" s="31"/>
      <c r="T38" s="31"/>
      <c r="U38" s="31"/>
      <c r="V38" s="5"/>
    </row>
    <row r="39" spans="1:25" ht="15" x14ac:dyDescent="0.2">
      <c r="A39" s="84"/>
      <c r="B39" s="224" t="s">
        <v>89</v>
      </c>
      <c r="C39" s="192"/>
      <c r="D39" s="97">
        <f>SUM(D30:D38)</f>
        <v>236.74799999999999</v>
      </c>
      <c r="E39" s="97">
        <f>SUM(E30:E38)</f>
        <v>233.85300000000001</v>
      </c>
      <c r="F39" s="69"/>
      <c r="G39" s="68"/>
      <c r="H39" s="69"/>
      <c r="I39" s="230"/>
      <c r="J39" s="230"/>
      <c r="K39" s="31"/>
      <c r="L39" s="191"/>
      <c r="M39" s="192"/>
      <c r="N39" s="18"/>
      <c r="O39" s="233"/>
      <c r="P39" s="194"/>
      <c r="Q39" s="18"/>
      <c r="R39" s="18"/>
      <c r="S39" s="18"/>
      <c r="T39" s="31"/>
      <c r="U39" s="18"/>
      <c r="V39" s="5"/>
    </row>
    <row r="40" spans="1:25" ht="15" x14ac:dyDescent="0.2">
      <c r="A40" s="214" t="s">
        <v>67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26"/>
      <c r="R40" s="227"/>
      <c r="S40" s="227"/>
      <c r="T40" s="227"/>
      <c r="U40" s="227"/>
      <c r="V40" s="86"/>
      <c r="W40" s="26"/>
      <c r="X40" s="26"/>
      <c r="Y40" s="26"/>
    </row>
    <row r="41" spans="1:25" ht="15" x14ac:dyDescent="0.2">
      <c r="A41" s="5"/>
      <c r="B41" s="216" t="s">
        <v>14</v>
      </c>
      <c r="C41" s="217"/>
      <c r="D41" s="217"/>
      <c r="E41" s="216" t="s">
        <v>36</v>
      </c>
      <c r="F41" s="218"/>
      <c r="G41" s="85"/>
      <c r="H41" s="27"/>
      <c r="I41" s="221"/>
      <c r="J41" s="221"/>
      <c r="K41" s="234"/>
      <c r="L41" s="221"/>
      <c r="M41" s="221"/>
      <c r="N41" s="221"/>
      <c r="O41" s="221"/>
      <c r="P41" s="44"/>
      <c r="Q41" s="89"/>
      <c r="R41" s="234"/>
      <c r="S41" s="222"/>
      <c r="T41" s="222"/>
      <c r="U41" s="222"/>
      <c r="V41" s="5"/>
    </row>
    <row r="42" spans="1:25" ht="15" x14ac:dyDescent="0.2">
      <c r="A42" s="5"/>
      <c r="B42" s="197" t="s">
        <v>37</v>
      </c>
      <c r="C42" s="198"/>
      <c r="D42" s="199"/>
      <c r="E42" s="206">
        <v>21</v>
      </c>
      <c r="F42" s="207"/>
      <c r="G42" s="85"/>
      <c r="H42" s="27"/>
      <c r="I42" s="213"/>
      <c r="J42" s="213"/>
      <c r="K42" s="200"/>
      <c r="L42" s="201"/>
      <c r="M42" s="201"/>
      <c r="N42" s="201"/>
      <c r="O42" s="201"/>
      <c r="P42" s="44"/>
      <c r="Q42" s="46"/>
      <c r="R42" s="200"/>
      <c r="S42" s="201"/>
      <c r="T42" s="201"/>
      <c r="U42" s="201"/>
      <c r="V42" s="5"/>
    </row>
    <row r="43" spans="1:25" ht="15" x14ac:dyDescent="0.2">
      <c r="A43" s="5"/>
      <c r="B43" s="197" t="s">
        <v>81</v>
      </c>
      <c r="C43" s="198"/>
      <c r="D43" s="199"/>
      <c r="E43" s="206">
        <v>5</v>
      </c>
      <c r="F43" s="207"/>
      <c r="G43" s="85"/>
      <c r="H43" s="27"/>
      <c r="I43" s="222"/>
      <c r="J43" s="222"/>
      <c r="K43" s="200"/>
      <c r="L43" s="201"/>
      <c r="M43" s="201"/>
      <c r="N43" s="201"/>
      <c r="O43" s="201"/>
      <c r="P43" s="44"/>
      <c r="Q43" s="46"/>
      <c r="R43" s="200"/>
      <c r="S43" s="201"/>
      <c r="T43" s="201"/>
      <c r="U43" s="201"/>
      <c r="V43" s="5"/>
    </row>
    <row r="44" spans="1:25" ht="15" x14ac:dyDescent="0.2">
      <c r="A44" s="5"/>
      <c r="B44" s="197" t="s">
        <v>82</v>
      </c>
      <c r="C44" s="198"/>
      <c r="D44" s="199"/>
      <c r="E44" s="206">
        <v>18</v>
      </c>
      <c r="F44" s="208"/>
      <c r="G44" s="22"/>
      <c r="H44" s="27"/>
      <c r="I44" s="222"/>
      <c r="J44" s="222"/>
      <c r="K44" s="200"/>
      <c r="L44" s="201"/>
      <c r="M44" s="201"/>
      <c r="N44" s="201"/>
      <c r="O44" s="201"/>
      <c r="P44" s="44"/>
      <c r="Q44" s="46"/>
      <c r="R44" s="200"/>
      <c r="S44" s="201"/>
      <c r="T44" s="201"/>
      <c r="U44" s="201"/>
      <c r="V44" s="5"/>
    </row>
    <row r="45" spans="1:25" ht="15" x14ac:dyDescent="0.2">
      <c r="A45" s="5"/>
      <c r="B45" s="197" t="s">
        <v>40</v>
      </c>
      <c r="C45" s="198"/>
      <c r="D45" s="199"/>
      <c r="E45" s="206">
        <f>SUM(E42:F44)</f>
        <v>44</v>
      </c>
      <c r="F45" s="208"/>
      <c r="G45" s="53"/>
      <c r="H45" s="54"/>
      <c r="I45" s="223"/>
      <c r="J45" s="223"/>
      <c r="K45" s="205"/>
      <c r="L45" s="204"/>
      <c r="M45" s="204"/>
      <c r="N45" s="204"/>
      <c r="O45" s="204"/>
      <c r="P45" s="55"/>
      <c r="Q45" s="56"/>
      <c r="R45" s="203"/>
      <c r="S45" s="204"/>
      <c r="T45" s="204"/>
      <c r="U45" s="204"/>
      <c r="V45" s="5"/>
    </row>
  </sheetData>
  <mergeCells count="87">
    <mergeCell ref="B45:D45"/>
    <mergeCell ref="E45:F45"/>
    <mergeCell ref="I45:J45"/>
    <mergeCell ref="K45:O45"/>
    <mergeCell ref="R45:U45"/>
    <mergeCell ref="B44:D44"/>
    <mergeCell ref="E44:F44"/>
    <mergeCell ref="I44:J44"/>
    <mergeCell ref="K44:O44"/>
    <mergeCell ref="R44:U44"/>
    <mergeCell ref="B42:D42"/>
    <mergeCell ref="E42:F42"/>
    <mergeCell ref="I42:J42"/>
    <mergeCell ref="K42:O42"/>
    <mergeCell ref="R42:U42"/>
    <mergeCell ref="B43:D43"/>
    <mergeCell ref="E43:F43"/>
    <mergeCell ref="I43:J43"/>
    <mergeCell ref="K43:O43"/>
    <mergeCell ref="R43:U43"/>
    <mergeCell ref="A40:H40"/>
    <mergeCell ref="I40:P40"/>
    <mergeCell ref="Q40:U40"/>
    <mergeCell ref="B41:D41"/>
    <mergeCell ref="E41:F41"/>
    <mergeCell ref="I41:J41"/>
    <mergeCell ref="K41:O41"/>
    <mergeCell ref="R41:U41"/>
    <mergeCell ref="I38:J38"/>
    <mergeCell ref="L38:M38"/>
    <mergeCell ref="O38:P38"/>
    <mergeCell ref="B39:C39"/>
    <mergeCell ref="I39:J39"/>
    <mergeCell ref="L39:M39"/>
    <mergeCell ref="O39:P39"/>
    <mergeCell ref="B38:C38"/>
    <mergeCell ref="B36:C36"/>
    <mergeCell ref="I36:J36"/>
    <mergeCell ref="L36:M36"/>
    <mergeCell ref="O36:P36"/>
    <mergeCell ref="B37:C37"/>
    <mergeCell ref="I37:J37"/>
    <mergeCell ref="L37:M37"/>
    <mergeCell ref="O37:P37"/>
    <mergeCell ref="B34:C34"/>
    <mergeCell ref="I34:J34"/>
    <mergeCell ref="L34:M34"/>
    <mergeCell ref="O34:P34"/>
    <mergeCell ref="B35:C35"/>
    <mergeCell ref="I35:J35"/>
    <mergeCell ref="L35:M35"/>
    <mergeCell ref="O35:P35"/>
    <mergeCell ref="B33:C33"/>
    <mergeCell ref="I33:J33"/>
    <mergeCell ref="L33:M33"/>
    <mergeCell ref="O33:P33"/>
    <mergeCell ref="X29:Y29"/>
    <mergeCell ref="B30:C30"/>
    <mergeCell ref="I30:J30"/>
    <mergeCell ref="L30:M30"/>
    <mergeCell ref="O30:P30"/>
    <mergeCell ref="B31:C31"/>
    <mergeCell ref="I31:J31"/>
    <mergeCell ref="L31:M31"/>
    <mergeCell ref="O31:P31"/>
    <mergeCell ref="B32:C32"/>
    <mergeCell ref="I32:J32"/>
    <mergeCell ref="L32:M32"/>
    <mergeCell ref="O32:P32"/>
    <mergeCell ref="B15:C15"/>
    <mergeCell ref="B16:C16"/>
    <mergeCell ref="B17:O17"/>
    <mergeCell ref="Q17:U17"/>
    <mergeCell ref="Q18:R18"/>
    <mergeCell ref="A27:U27"/>
    <mergeCell ref="A28:H28"/>
    <mergeCell ref="I28:V28"/>
    <mergeCell ref="B29:C29"/>
    <mergeCell ref="I29:J29"/>
    <mergeCell ref="L29:M29"/>
    <mergeCell ref="O29:P29"/>
    <mergeCell ref="A1:V1"/>
    <mergeCell ref="A2:V2"/>
    <mergeCell ref="A4:V4"/>
    <mergeCell ref="A6:V6"/>
    <mergeCell ref="B8:C8"/>
    <mergeCell ref="D8:O8"/>
  </mergeCells>
  <pageMargins left="0.7" right="0.7" top="0.75" bottom="0.75" header="0.3" footer="0.3"/>
  <pageSetup scale="52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D1" workbookViewId="0">
      <selection activeCell="B17" sqref="B17:O17"/>
    </sheetView>
  </sheetViews>
  <sheetFormatPr baseColWidth="10" defaultColWidth="10.33203125" defaultRowHeight="13" outlineLevelRow="1" x14ac:dyDescent="0.15"/>
  <cols>
    <col min="1" max="1" width="1.1640625" style="47" customWidth="1"/>
    <col min="2" max="2" width="11.6640625" style="47" customWidth="1"/>
    <col min="3" max="3" width="16.33203125" style="47" customWidth="1"/>
    <col min="4" max="4" width="12.5" style="47" bestFit="1" customWidth="1"/>
    <col min="5" max="5" width="12.6640625" style="47" customWidth="1"/>
    <col min="6" max="7" width="11.5" style="47" bestFit="1" customWidth="1"/>
    <col min="8" max="8" width="11.5" style="2" bestFit="1" customWidth="1"/>
    <col min="9" max="9" width="11.6640625" style="47" bestFit="1" customWidth="1"/>
    <col min="10" max="10" width="11.5" style="47" bestFit="1" customWidth="1"/>
    <col min="11" max="11" width="11.5" style="47" customWidth="1"/>
    <col min="12" max="12" width="11.5" style="47" bestFit="1" customWidth="1"/>
    <col min="13" max="13" width="11.1640625" style="47" customWidth="1"/>
    <col min="14" max="14" width="12.5" style="47" customWidth="1"/>
    <col min="15" max="15" width="10.5" style="47" customWidth="1"/>
    <col min="16" max="16" width="1.1640625" style="47" customWidth="1"/>
    <col min="17" max="17" width="14.33203125" style="47" customWidth="1"/>
    <col min="18" max="18" width="10.6640625" style="47" customWidth="1"/>
    <col min="19" max="19" width="12" style="47" bestFit="1" customWidth="1"/>
    <col min="20" max="20" width="14.33203125" style="7" customWidth="1"/>
    <col min="21" max="21" width="0.83203125" style="47" customWidth="1"/>
    <col min="22" max="24" width="10.33203125" style="22"/>
    <col min="25" max="16384" width="10.33203125" style="47"/>
  </cols>
  <sheetData>
    <row r="1" spans="1:24" ht="27.75" customHeight="1" x14ac:dyDescent="0.3">
      <c r="A1" s="237" t="s">
        <v>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4" ht="19.5" customHeight="1" x14ac:dyDescent="0.25">
      <c r="A2" s="239" t="s">
        <v>102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4" ht="25.5" customHeight="1" thickBot="1" x14ac:dyDescent="0.25">
      <c r="A3" s="2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4" ht="18.75" customHeight="1" thickBot="1" x14ac:dyDescent="0.25">
      <c r="A4" s="245" t="s">
        <v>35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7"/>
    </row>
    <row r="5" spans="1:24" s="22" customFormat="1" ht="2.25" customHeight="1" x14ac:dyDescent="0.2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4" ht="15" x14ac:dyDescent="0.2">
      <c r="A6" s="214" t="s">
        <v>33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4" s="29" customFormat="1" x14ac:dyDescent="0.15">
      <c r="A7" s="14"/>
      <c r="D7" s="29" t="s">
        <v>18</v>
      </c>
      <c r="E7" s="29" t="s">
        <v>24</v>
      </c>
      <c r="F7" s="12" t="s">
        <v>25</v>
      </c>
      <c r="G7" s="12" t="s">
        <v>23</v>
      </c>
      <c r="H7" s="29" t="s">
        <v>26</v>
      </c>
      <c r="I7" s="29" t="s">
        <v>27</v>
      </c>
      <c r="J7" s="29" t="s">
        <v>28</v>
      </c>
      <c r="K7" s="29" t="s">
        <v>29</v>
      </c>
      <c r="L7" s="29" t="s">
        <v>22</v>
      </c>
      <c r="M7" s="29" t="s">
        <v>19</v>
      </c>
      <c r="N7" s="29" t="s">
        <v>20</v>
      </c>
      <c r="O7" s="29" t="s">
        <v>21</v>
      </c>
      <c r="P7" s="40"/>
      <c r="Q7" s="29" t="s">
        <v>31</v>
      </c>
      <c r="R7" s="29" t="s">
        <v>15</v>
      </c>
      <c r="S7" s="29" t="s">
        <v>30</v>
      </c>
      <c r="T7" s="29" t="s">
        <v>32</v>
      </c>
      <c r="U7" s="14"/>
      <c r="V7" s="15"/>
      <c r="W7" s="15"/>
      <c r="X7" s="15"/>
    </row>
    <row r="8" spans="1:24" s="29" customFormat="1" ht="13.5" customHeight="1" x14ac:dyDescent="0.2">
      <c r="A8" s="14"/>
      <c r="B8" s="242" t="s">
        <v>44</v>
      </c>
      <c r="C8" s="242"/>
      <c r="D8" s="260" t="s">
        <v>31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40"/>
      <c r="U8" s="14"/>
      <c r="V8" s="15"/>
      <c r="W8" s="15"/>
      <c r="X8" s="15"/>
    </row>
    <row r="9" spans="1:24" ht="15" x14ac:dyDescent="0.2">
      <c r="A9" s="5"/>
      <c r="B9" s="47" t="s">
        <v>16</v>
      </c>
      <c r="D9" s="33">
        <f>D10+D11</f>
        <v>436778.04000000004</v>
      </c>
      <c r="E9" s="33">
        <f>E10+E11</f>
        <v>258172.34999999998</v>
      </c>
      <c r="F9" s="33">
        <f>F10+F11</f>
        <v>187173.05999999997</v>
      </c>
      <c r="G9" s="33">
        <f>G10+G11</f>
        <v>250866</v>
      </c>
      <c r="H9" s="33">
        <f>H10+H11</f>
        <v>328773.62</v>
      </c>
      <c r="I9" s="32">
        <f t="shared" ref="I9:O9" si="0">SUM(I10:I11)</f>
        <v>300519.5</v>
      </c>
      <c r="J9" s="33">
        <f t="shared" si="0"/>
        <v>230722.49</v>
      </c>
      <c r="K9" s="33">
        <f t="shared" si="0"/>
        <v>250988.16</v>
      </c>
      <c r="L9" s="33">
        <f t="shared" si="0"/>
        <v>231927.66</v>
      </c>
      <c r="M9" s="33">
        <f t="shared" si="0"/>
        <v>254476.72999999998</v>
      </c>
      <c r="N9" s="33">
        <f t="shared" si="0"/>
        <v>379513.45999999996</v>
      </c>
      <c r="O9" s="33">
        <f t="shared" si="0"/>
        <v>362022.78</v>
      </c>
      <c r="P9" s="41"/>
      <c r="Q9" s="48">
        <f>Q10+Q11</f>
        <v>3597763.54</v>
      </c>
      <c r="R9" s="33">
        <f>R10+R11</f>
        <v>3635074</v>
      </c>
      <c r="S9" s="63">
        <f>Q9-R9</f>
        <v>-37310.459999999963</v>
      </c>
      <c r="T9" s="9">
        <f>S9/R9</f>
        <v>-1.026401663349906E-2</v>
      </c>
      <c r="U9" s="5"/>
    </row>
    <row r="10" spans="1:24" ht="15" customHeight="1" outlineLevel="1" x14ac:dyDescent="0.15">
      <c r="A10" s="5"/>
      <c r="B10" s="28" t="s">
        <v>42</v>
      </c>
      <c r="D10" s="63">
        <v>-11240.86</v>
      </c>
      <c r="E10" s="33">
        <f>137007.49+2573.43+8667.43</f>
        <v>148248.34999999998</v>
      </c>
      <c r="F10" s="33">
        <f>138110.02+8904.74</f>
        <v>147014.75999999998</v>
      </c>
      <c r="G10" s="33">
        <f>137476+8665</f>
        <v>146141</v>
      </c>
      <c r="H10" s="33">
        <f>136064.93+8321.67</f>
        <v>144386.6</v>
      </c>
      <c r="I10" s="33">
        <f>143231.47+9247.95+10920</f>
        <v>163399.42000000001</v>
      </c>
      <c r="J10" s="33">
        <f>138240.62+8701.06</f>
        <v>146941.68</v>
      </c>
      <c r="K10" s="33">
        <f>131132.87+6830.13+8579.84+16152.32</f>
        <v>162695.16</v>
      </c>
      <c r="L10" s="33">
        <f>136447.44+17459.22</f>
        <v>153906.66</v>
      </c>
      <c r="M10" s="33">
        <f>136417.74+17468.84</f>
        <v>153886.57999999999</v>
      </c>
      <c r="N10" s="33">
        <f>136410.46</f>
        <v>136410.46</v>
      </c>
      <c r="O10" s="33">
        <f>278858.71+20125.02</f>
        <v>298983.73000000004</v>
      </c>
      <c r="P10" s="41"/>
      <c r="Q10" s="48">
        <f>SUM(D10:O10)</f>
        <v>1790773.54</v>
      </c>
      <c r="R10" s="33">
        <f>1757972+25000</f>
        <v>1782972</v>
      </c>
      <c r="S10" s="33"/>
      <c r="T10" s="9"/>
      <c r="U10" s="5"/>
    </row>
    <row r="11" spans="1:24" ht="15" customHeight="1" outlineLevel="1" x14ac:dyDescent="0.15">
      <c r="A11" s="5"/>
      <c r="B11" s="47" t="s">
        <v>55</v>
      </c>
      <c r="D11" s="33">
        <f>436777.9+11241</f>
        <v>448018.9</v>
      </c>
      <c r="E11" s="33">
        <v>109924</v>
      </c>
      <c r="F11" s="38">
        <f>187173.3-147015</f>
        <v>40158.299999999988</v>
      </c>
      <c r="G11" s="33">
        <f>250866-146141</f>
        <v>104725</v>
      </c>
      <c r="H11" s="33">
        <f>328773.62-8321.67-136064.93</f>
        <v>184387.02000000002</v>
      </c>
      <c r="I11" s="33">
        <f>300519.5-143231.47-9247.95-10920</f>
        <v>137120.07999999999</v>
      </c>
      <c r="J11" s="33">
        <f>230722.81-146942</f>
        <v>83780.81</v>
      </c>
      <c r="K11" s="38">
        <v>88293</v>
      </c>
      <c r="L11" s="38">
        <f>231928-153907</f>
        <v>78021</v>
      </c>
      <c r="M11" s="38">
        <f>254477.15-153887</f>
        <v>100590.15</v>
      </c>
      <c r="N11" s="38">
        <v>243103</v>
      </c>
      <c r="O11" s="38">
        <f>362023.05-298984</f>
        <v>63039.049999999988</v>
      </c>
      <c r="P11" s="41"/>
      <c r="Q11" s="48">
        <v>1806990</v>
      </c>
      <c r="R11" s="33">
        <v>1852102</v>
      </c>
      <c r="S11" s="33"/>
      <c r="T11" s="9"/>
      <c r="U11" s="5"/>
    </row>
    <row r="12" spans="1:24" x14ac:dyDescent="0.15">
      <c r="A12" s="5"/>
      <c r="B12" s="47" t="s">
        <v>17</v>
      </c>
      <c r="D12" s="36">
        <v>132138.92000000001</v>
      </c>
      <c r="E12" s="36">
        <v>273580</v>
      </c>
      <c r="F12" s="36">
        <v>313128.13</v>
      </c>
      <c r="G12" s="36">
        <f>303583+962</f>
        <v>304545</v>
      </c>
      <c r="H12" s="36">
        <v>301100.21999999997</v>
      </c>
      <c r="I12" s="36">
        <v>272533.13</v>
      </c>
      <c r="J12" s="36">
        <v>266134.88</v>
      </c>
      <c r="K12" s="39">
        <v>278061.61</v>
      </c>
      <c r="L12" s="39">
        <v>324795</v>
      </c>
      <c r="M12" s="39">
        <v>286651.36</v>
      </c>
      <c r="N12" s="39">
        <v>316987.73</v>
      </c>
      <c r="O12" s="39">
        <v>355265.83</v>
      </c>
      <c r="P12" s="42"/>
      <c r="Q12" s="36">
        <v>3515553</v>
      </c>
      <c r="R12" s="36">
        <v>3635074</v>
      </c>
      <c r="S12" s="65">
        <f>R12-Q12</f>
        <v>119521</v>
      </c>
      <c r="T12" s="16">
        <f>S12/R12</f>
        <v>3.2879935869256034E-2</v>
      </c>
      <c r="U12" s="5"/>
    </row>
    <row r="13" spans="1:24" x14ac:dyDescent="0.15">
      <c r="A13" s="5"/>
      <c r="B13" s="47" t="s">
        <v>65</v>
      </c>
      <c r="D13" s="63">
        <f>D9-D12</f>
        <v>304639.12</v>
      </c>
      <c r="E13" s="91">
        <f>E9-E12</f>
        <v>-15407.650000000023</v>
      </c>
      <c r="F13" s="63">
        <f t="shared" ref="F13:R13" si="1">F9-F12</f>
        <v>-125955.07000000004</v>
      </c>
      <c r="G13" s="63">
        <f t="shared" si="1"/>
        <v>-53679</v>
      </c>
      <c r="H13" s="63">
        <f t="shared" si="1"/>
        <v>27673.400000000023</v>
      </c>
      <c r="I13" s="63">
        <f t="shared" si="1"/>
        <v>27986.369999999995</v>
      </c>
      <c r="J13" s="63">
        <f t="shared" si="1"/>
        <v>-35412.390000000014</v>
      </c>
      <c r="K13" s="63">
        <f t="shared" si="1"/>
        <v>-27073.449999999983</v>
      </c>
      <c r="L13" s="63">
        <f t="shared" si="1"/>
        <v>-92867.34</v>
      </c>
      <c r="M13" s="63">
        <f t="shared" si="1"/>
        <v>-32174.630000000005</v>
      </c>
      <c r="N13" s="63">
        <f t="shared" si="1"/>
        <v>62525.729999999981</v>
      </c>
      <c r="O13" s="63">
        <f t="shared" si="1"/>
        <v>6756.9500000000116</v>
      </c>
      <c r="P13" s="41">
        <f t="shared" si="1"/>
        <v>0</v>
      </c>
      <c r="Q13" s="91">
        <f t="shared" si="1"/>
        <v>82210.540000000037</v>
      </c>
      <c r="R13" s="33">
        <f t="shared" si="1"/>
        <v>0</v>
      </c>
      <c r="S13" s="63">
        <f>S9+S12</f>
        <v>82210.540000000037</v>
      </c>
      <c r="T13" s="62" t="e">
        <f>S13/R13</f>
        <v>#DIV/0!</v>
      </c>
      <c r="U13" s="5"/>
    </row>
    <row r="14" spans="1:24" x14ac:dyDescent="0.15">
      <c r="A14" s="5"/>
      <c r="E14" s="13"/>
      <c r="F14" s="13"/>
      <c r="G14" s="13"/>
      <c r="H14" s="13"/>
      <c r="I14" s="13"/>
      <c r="J14" s="13"/>
      <c r="O14" s="13"/>
      <c r="P14" s="43"/>
      <c r="Q14" s="13"/>
      <c r="R14" s="13"/>
      <c r="S14" s="13"/>
      <c r="T14" s="9"/>
      <c r="U14" s="5"/>
    </row>
    <row r="15" spans="1:24" ht="15" customHeight="1" x14ac:dyDescent="0.15">
      <c r="A15" s="5"/>
      <c r="B15" s="254" t="s">
        <v>88</v>
      </c>
      <c r="C15" s="254"/>
      <c r="D15" s="30">
        <v>630347.71</v>
      </c>
      <c r="E15" s="72">
        <v>623992</v>
      </c>
      <c r="F15" s="72">
        <v>556566.01</v>
      </c>
      <c r="G15" s="72">
        <v>541698</v>
      </c>
      <c r="H15" s="72">
        <v>569506.43999999994</v>
      </c>
      <c r="I15" s="72">
        <v>602736</v>
      </c>
      <c r="J15" s="72">
        <v>623288.24</v>
      </c>
      <c r="K15" s="72">
        <v>771417.12</v>
      </c>
      <c r="L15" s="72">
        <v>801747</v>
      </c>
      <c r="M15" s="72">
        <v>774993</v>
      </c>
      <c r="N15" s="72">
        <v>720521.58</v>
      </c>
      <c r="O15" s="72">
        <v>744190.71</v>
      </c>
      <c r="P15" s="43"/>
      <c r="Q15" s="48">
        <v>744191</v>
      </c>
      <c r="R15" s="73">
        <v>559502</v>
      </c>
      <c r="S15" s="48">
        <f>Q15-R15</f>
        <v>184689</v>
      </c>
      <c r="T15" s="74">
        <f>S15/R15</f>
        <v>0.33009533477985781</v>
      </c>
      <c r="U15" s="5"/>
    </row>
    <row r="16" spans="1:24" ht="15" customHeight="1" x14ac:dyDescent="0.15">
      <c r="A16" s="5"/>
      <c r="B16" s="254"/>
      <c r="C16" s="254"/>
      <c r="D16" s="7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3"/>
      <c r="Q16" s="92"/>
      <c r="R16" s="38"/>
      <c r="S16" s="91"/>
      <c r="T16" s="9"/>
      <c r="U16" s="5"/>
    </row>
    <row r="17" spans="1:24" ht="15" x14ac:dyDescent="0.2">
      <c r="A17" s="5"/>
      <c r="B17" s="214" t="s">
        <v>6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5"/>
      <c r="Q17" s="255"/>
      <c r="R17" s="241"/>
      <c r="S17" s="241"/>
      <c r="T17" s="241"/>
      <c r="U17" s="5"/>
    </row>
    <row r="18" spans="1:24" ht="15" x14ac:dyDescent="0.2">
      <c r="A18" s="5"/>
      <c r="B18" s="4" t="s">
        <v>7</v>
      </c>
      <c r="F18" s="4" t="s">
        <v>8</v>
      </c>
      <c r="G18" s="29" t="s">
        <v>98</v>
      </c>
      <c r="H18" s="29" t="s">
        <v>99</v>
      </c>
      <c r="I18" s="29" t="s">
        <v>100</v>
      </c>
      <c r="J18" s="29" t="s">
        <v>101</v>
      </c>
      <c r="K18" s="78"/>
      <c r="P18" s="5"/>
      <c r="Q18" s="248"/>
      <c r="R18" s="249"/>
      <c r="S18" s="101"/>
      <c r="T18" s="101"/>
      <c r="U18" s="5"/>
    </row>
    <row r="19" spans="1:24" x14ac:dyDescent="0.15">
      <c r="A19" s="5"/>
      <c r="B19" s="47" t="s">
        <v>0</v>
      </c>
      <c r="F19" s="31" t="s">
        <v>9</v>
      </c>
      <c r="G19" s="52">
        <f>712381.2/132518.47</f>
        <v>5.3757125327510948</v>
      </c>
      <c r="H19" s="52">
        <f>708026.86/126897.01</f>
        <v>5.5795393445440524</v>
      </c>
      <c r="I19" s="59">
        <f>783357.12/354983.66</f>
        <v>2.2067413469115733</v>
      </c>
      <c r="J19" s="93">
        <f>845301.66/353793.12</f>
        <v>2.3892540929003934</v>
      </c>
      <c r="K19" s="57"/>
      <c r="P19" s="5"/>
      <c r="S19" s="7"/>
      <c r="U19" s="5"/>
    </row>
    <row r="20" spans="1:24" x14ac:dyDescent="0.15">
      <c r="A20" s="5"/>
      <c r="B20" s="47" t="s">
        <v>95</v>
      </c>
      <c r="F20" s="31" t="s">
        <v>97</v>
      </c>
      <c r="G20" s="52" t="s">
        <v>96</v>
      </c>
      <c r="H20" s="52">
        <v>2.4300000000000002</v>
      </c>
      <c r="I20" s="109" t="s">
        <v>96</v>
      </c>
      <c r="J20" s="93"/>
      <c r="K20" s="57"/>
      <c r="P20" s="5"/>
      <c r="S20" s="7"/>
      <c r="U20" s="5"/>
    </row>
    <row r="21" spans="1:24" x14ac:dyDescent="0.15">
      <c r="A21" s="5"/>
      <c r="B21" s="47" t="s">
        <v>69</v>
      </c>
      <c r="F21" s="31" t="s">
        <v>11</v>
      </c>
      <c r="G21" s="75">
        <f>556566.01/(765551.96/91.25)</f>
        <v>66.339910373294586</v>
      </c>
      <c r="H21" s="75">
        <f>602735.95/(1675669.31/184)</f>
        <v>66.184547355587711</v>
      </c>
      <c r="I21" s="76">
        <f>801747.01/(2544543.42/273.75)</f>
        <v>86.254469962041355</v>
      </c>
      <c r="J21" s="94">
        <f>744190.71/(3515553.26/365)</f>
        <v>77.265109944600866</v>
      </c>
      <c r="K21" s="57"/>
      <c r="P21" s="5"/>
      <c r="S21" s="7"/>
      <c r="T21" s="10"/>
      <c r="U21" s="5"/>
    </row>
    <row r="22" spans="1:24" x14ac:dyDescent="0.15">
      <c r="A22" s="5"/>
      <c r="B22" s="47" t="s">
        <v>53</v>
      </c>
      <c r="F22" s="31" t="s">
        <v>12</v>
      </c>
      <c r="G22" s="23">
        <f>233040.26/998592.22</f>
        <v>0.23336879191788618</v>
      </c>
      <c r="H22" s="23">
        <f>197557.38/1873226.69</f>
        <v>0.10546367989236798</v>
      </c>
      <c r="I22" s="60">
        <f>56214.42/2600757.84</f>
        <v>2.1614630603209103E-2</v>
      </c>
      <c r="J22" s="95">
        <f>82211.5/3597765</f>
        <v>2.2850714262882651E-2</v>
      </c>
      <c r="K22" s="57"/>
      <c r="P22" s="5"/>
      <c r="S22" s="7"/>
      <c r="T22" s="11"/>
      <c r="U22" s="5"/>
    </row>
    <row r="23" spans="1:24" x14ac:dyDescent="0.15">
      <c r="A23" s="5"/>
      <c r="B23" s="47" t="s">
        <v>2</v>
      </c>
      <c r="F23" s="31" t="s">
        <v>12</v>
      </c>
      <c r="G23" s="23">
        <f>754165.99/765551.96</f>
        <v>0.98512711011803822</v>
      </c>
      <c r="H23" s="23">
        <f>718683.11/1675669.31</f>
        <v>0.42889316269688077</v>
      </c>
      <c r="I23" s="60">
        <f>529176.72/2544543.42</f>
        <v>0.20796529382862722</v>
      </c>
      <c r="J23" s="95">
        <f>555561.8/3515553.26</f>
        <v>0.15802969231648054</v>
      </c>
      <c r="K23" s="57"/>
      <c r="P23" s="5"/>
      <c r="S23" s="7"/>
      <c r="T23" s="11"/>
      <c r="U23" s="5"/>
    </row>
    <row r="24" spans="1:24" x14ac:dyDescent="0.15">
      <c r="A24" s="5"/>
      <c r="B24" s="47" t="s">
        <v>3</v>
      </c>
      <c r="F24" s="23">
        <v>0.1</v>
      </c>
      <c r="G24" s="23">
        <f>(3000+400+6565+346.45+3504.05)/998592.22</f>
        <v>1.3834976603362682E-2</v>
      </c>
      <c r="H24" s="23">
        <f>(51707.46+766.25+7384.6+150542.23)/1873226.69</f>
        <v>0.11231984955328606</v>
      </c>
      <c r="I24" s="60">
        <f>(135292.23+17950+54065.5+13996.71+1070.87+324+1500)/2600757.84</f>
        <v>8.6205376968122499E-2</v>
      </c>
      <c r="J24" s="95">
        <f>(153132.23+57331.58+181553.38+1363.72+13303.41)/3597764.76</f>
        <v>0.1130380519931492</v>
      </c>
      <c r="K24" s="57"/>
      <c r="P24" s="5"/>
      <c r="S24" s="7"/>
      <c r="T24" s="11"/>
      <c r="U24" s="5"/>
    </row>
    <row r="25" spans="1:24" ht="15" x14ac:dyDescent="0.2">
      <c r="A25" s="5"/>
      <c r="B25" s="47" t="s">
        <v>4</v>
      </c>
      <c r="F25" s="31" t="s">
        <v>13</v>
      </c>
      <c r="G25" s="23">
        <f>(233823.33+54035.93+31952.87+4050+2502.97+54762.88+17116.41+5303.15+405.71)/765551.96</f>
        <v>0.52766274675856095</v>
      </c>
      <c r="H25" s="58">
        <f>(578362.71+122509.86+65361.17+8100+4948.09+128836.12+35258.74+13182.05+1008.47)/1675669.31</f>
        <v>0.57145357039450695</v>
      </c>
      <c r="I25" s="60">
        <f>(916530.84+192342.26+99268.22+12150+7701.6+203369.36+53981.32+21060.95+1669.63)/2544543.42</f>
        <v>0.5926698550893662</v>
      </c>
      <c r="J25" s="95">
        <f>(1283763.64+263380.43+135631.52+16200+10480.24+283517.6+72940.27+29939.85+2348.89)/3515553.26</f>
        <v>0.59683420640311957</v>
      </c>
      <c r="K25" s="57"/>
      <c r="P25" s="5"/>
      <c r="S25" s="7"/>
      <c r="U25" s="5"/>
    </row>
    <row r="26" spans="1:24" x14ac:dyDescent="0.15">
      <c r="A26" s="5"/>
      <c r="B26" s="47" t="s">
        <v>5</v>
      </c>
      <c r="F26" s="31"/>
      <c r="G26" s="23">
        <f>(50942.91+7543+482.87)/765551.96</f>
        <v>7.7027795735772148E-2</v>
      </c>
      <c r="H26" s="23">
        <f>(140322.35-13182.05-1008.47)/1675669.31</f>
        <v>7.5272507079574072E-2</v>
      </c>
      <c r="I26" s="60">
        <f>(134651.85+24797.32+5649.33)/2544543.42</f>
        <v>6.4883349485150468E-2</v>
      </c>
      <c r="J26" s="95">
        <f>(168825.9+42399.32+6261.22)/3515553.26</f>
        <v>6.1864072001002773E-2</v>
      </c>
      <c r="K26" s="57"/>
      <c r="P26" s="5"/>
      <c r="Q26" s="22"/>
      <c r="U26" s="5"/>
    </row>
    <row r="27" spans="1:24" ht="16" x14ac:dyDescent="0.2">
      <c r="A27" s="250" t="s">
        <v>34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6"/>
    </row>
    <row r="28" spans="1:24" ht="15" x14ac:dyDescent="0.2">
      <c r="A28" s="214" t="s">
        <v>70</v>
      </c>
      <c r="B28" s="215"/>
      <c r="C28" s="215"/>
      <c r="D28" s="215"/>
      <c r="E28" s="215"/>
      <c r="F28" s="215"/>
      <c r="G28" s="215"/>
      <c r="H28" s="215"/>
      <c r="I28" s="214" t="s">
        <v>76</v>
      </c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</row>
    <row r="29" spans="1:24" ht="15" x14ac:dyDescent="0.2">
      <c r="A29" s="5"/>
      <c r="B29" s="209"/>
      <c r="C29" s="210"/>
      <c r="D29" s="98" t="s">
        <v>94</v>
      </c>
      <c r="E29" s="99" t="s">
        <v>91</v>
      </c>
      <c r="F29" s="105" t="s">
        <v>92</v>
      </c>
      <c r="G29" s="68"/>
      <c r="H29" s="69"/>
      <c r="I29" s="217"/>
      <c r="J29" s="217"/>
      <c r="K29" s="104"/>
      <c r="L29" s="257"/>
      <c r="M29" s="192"/>
      <c r="N29" s="104" t="s">
        <v>15</v>
      </c>
      <c r="O29" s="252" t="s">
        <v>31</v>
      </c>
      <c r="P29" s="253"/>
      <c r="Q29" s="104" t="s">
        <v>71</v>
      </c>
      <c r="R29" s="104" t="s">
        <v>72</v>
      </c>
      <c r="S29" s="104" t="s">
        <v>73</v>
      </c>
      <c r="T29" s="104"/>
      <c r="U29" s="5"/>
      <c r="W29" s="243"/>
      <c r="X29" s="244"/>
    </row>
    <row r="30" spans="1:24" ht="15" x14ac:dyDescent="0.2">
      <c r="A30" s="5"/>
      <c r="B30" s="263" t="s">
        <v>56</v>
      </c>
      <c r="C30" s="264"/>
      <c r="D30" s="79">
        <v>31</v>
      </c>
      <c r="E30" s="97">
        <v>32</v>
      </c>
      <c r="F30" s="97">
        <v>31.824999999999999</v>
      </c>
      <c r="G30" s="68"/>
      <c r="H30" s="69"/>
      <c r="I30" s="228"/>
      <c r="J30" s="229"/>
      <c r="K30" s="79"/>
      <c r="L30" s="235" t="s">
        <v>74</v>
      </c>
      <c r="M30" s="192"/>
      <c r="N30" s="106">
        <v>17</v>
      </c>
      <c r="O30" s="266">
        <f>SUM(Q30:S30)</f>
        <v>18</v>
      </c>
      <c r="P30" s="267"/>
      <c r="Q30" s="106">
        <v>3</v>
      </c>
      <c r="R30" s="106">
        <v>3</v>
      </c>
      <c r="S30" s="106">
        <v>12</v>
      </c>
      <c r="T30" s="79"/>
      <c r="U30" s="5"/>
    </row>
    <row r="31" spans="1:24" ht="15" x14ac:dyDescent="0.2">
      <c r="A31" s="5"/>
      <c r="B31" s="263" t="s">
        <v>57</v>
      </c>
      <c r="C31" s="264"/>
      <c r="D31" s="79">
        <v>38</v>
      </c>
      <c r="E31" s="97">
        <v>36.85</v>
      </c>
      <c r="F31" s="97">
        <v>36.08</v>
      </c>
      <c r="G31" s="68"/>
      <c r="H31" s="69"/>
      <c r="I31" s="228"/>
      <c r="J31" s="229"/>
      <c r="K31" s="61"/>
      <c r="L31" s="236" t="s">
        <v>75</v>
      </c>
      <c r="M31" s="192"/>
      <c r="N31" s="106">
        <v>78</v>
      </c>
      <c r="O31" s="266">
        <f>SUM(Q31:S31)</f>
        <v>84</v>
      </c>
      <c r="P31" s="267"/>
      <c r="Q31" s="106">
        <v>6</v>
      </c>
      <c r="R31" s="106">
        <v>45</v>
      </c>
      <c r="S31" s="106">
        <v>33</v>
      </c>
      <c r="T31" s="61"/>
      <c r="U31" s="5"/>
    </row>
    <row r="32" spans="1:24" ht="15" x14ac:dyDescent="0.2">
      <c r="A32" s="5"/>
      <c r="B32" s="263" t="s">
        <v>58</v>
      </c>
      <c r="C32" s="264"/>
      <c r="D32" s="79">
        <v>31</v>
      </c>
      <c r="E32" s="97">
        <v>31</v>
      </c>
      <c r="F32" s="97">
        <v>30.89</v>
      </c>
      <c r="G32" s="68"/>
      <c r="H32" s="69"/>
      <c r="I32" s="193"/>
      <c r="J32" s="194"/>
      <c r="K32" s="61"/>
      <c r="L32" s="236" t="s">
        <v>77</v>
      </c>
      <c r="M32" s="192"/>
      <c r="N32" s="106">
        <v>100</v>
      </c>
      <c r="O32" s="268">
        <v>94</v>
      </c>
      <c r="P32" s="269"/>
      <c r="Q32" s="107"/>
      <c r="R32" s="107"/>
      <c r="S32" s="107"/>
      <c r="T32" s="61"/>
      <c r="U32" s="5"/>
    </row>
    <row r="33" spans="1:24" ht="15" x14ac:dyDescent="0.2">
      <c r="A33" s="5"/>
      <c r="B33" s="263" t="s">
        <v>59</v>
      </c>
      <c r="C33" s="264"/>
      <c r="D33" s="79">
        <v>45</v>
      </c>
      <c r="E33" s="97">
        <v>44.375</v>
      </c>
      <c r="F33" s="97">
        <v>44.06</v>
      </c>
      <c r="G33" s="68"/>
      <c r="H33" s="69"/>
      <c r="I33" s="193"/>
      <c r="J33" s="194"/>
      <c r="K33" s="61"/>
      <c r="L33" s="236" t="s">
        <v>78</v>
      </c>
      <c r="M33" s="192"/>
      <c r="N33" s="106">
        <v>104</v>
      </c>
      <c r="O33" s="268">
        <v>98</v>
      </c>
      <c r="P33" s="269"/>
      <c r="Q33" s="107"/>
      <c r="R33" s="107"/>
      <c r="S33" s="107"/>
      <c r="T33" s="61"/>
      <c r="U33" s="5"/>
    </row>
    <row r="34" spans="1:24" ht="15" x14ac:dyDescent="0.2">
      <c r="A34" s="5"/>
      <c r="B34" s="263" t="s">
        <v>60</v>
      </c>
      <c r="C34" s="264"/>
      <c r="D34" s="79">
        <v>28</v>
      </c>
      <c r="E34" s="97">
        <v>26.875</v>
      </c>
      <c r="F34" s="97">
        <v>26.24</v>
      </c>
      <c r="G34" s="68"/>
      <c r="H34" s="69"/>
      <c r="I34" s="193"/>
      <c r="J34" s="194"/>
      <c r="K34" s="61"/>
      <c r="L34" s="236" t="s">
        <v>79</v>
      </c>
      <c r="M34" s="192"/>
      <c r="N34" s="106">
        <v>33</v>
      </c>
      <c r="O34" s="268">
        <v>31</v>
      </c>
      <c r="P34" s="269"/>
      <c r="Q34" s="107"/>
      <c r="R34" s="107"/>
      <c r="S34" s="107"/>
      <c r="T34" s="61"/>
      <c r="U34" s="5"/>
    </row>
    <row r="35" spans="1:24" ht="15" x14ac:dyDescent="0.2">
      <c r="A35" s="5"/>
      <c r="B35" s="263" t="s">
        <v>61</v>
      </c>
      <c r="C35" s="264"/>
      <c r="D35" s="79">
        <v>31</v>
      </c>
      <c r="E35" s="97">
        <v>31.361999999999998</v>
      </c>
      <c r="F35" s="97">
        <v>31.145</v>
      </c>
      <c r="G35" s="68"/>
      <c r="H35" s="69"/>
      <c r="I35" s="193"/>
      <c r="J35" s="194"/>
      <c r="K35" s="61"/>
      <c r="L35" s="236" t="s">
        <v>80</v>
      </c>
      <c r="M35" s="192"/>
      <c r="N35" s="108">
        <f>SUM(N30:N34)</f>
        <v>332</v>
      </c>
      <c r="O35" s="266">
        <f>SUM(O30:P34)</f>
        <v>325</v>
      </c>
      <c r="P35" s="269"/>
      <c r="Q35" s="107"/>
      <c r="R35" s="107"/>
      <c r="S35" s="107"/>
      <c r="T35" s="61"/>
      <c r="U35" s="5"/>
    </row>
    <row r="36" spans="1:24" ht="15" x14ac:dyDescent="0.2">
      <c r="A36" s="5"/>
      <c r="B36" s="263" t="s">
        <v>62</v>
      </c>
      <c r="C36" s="264"/>
      <c r="D36" s="79">
        <v>16</v>
      </c>
      <c r="E36" s="97">
        <v>16</v>
      </c>
      <c r="F36" s="97">
        <v>16</v>
      </c>
      <c r="G36" s="68"/>
      <c r="H36" s="69"/>
      <c r="I36" s="193"/>
      <c r="J36" s="194"/>
      <c r="K36" s="61"/>
      <c r="L36" s="236"/>
      <c r="M36" s="192"/>
      <c r="N36" s="61"/>
      <c r="O36" s="219"/>
      <c r="P36" s="220"/>
      <c r="Q36" s="61"/>
      <c r="R36" s="61"/>
      <c r="S36" s="61"/>
      <c r="T36" s="61"/>
      <c r="U36" s="5"/>
    </row>
    <row r="37" spans="1:24" ht="15" x14ac:dyDescent="0.2">
      <c r="A37" s="5"/>
      <c r="B37" s="263" t="s">
        <v>63</v>
      </c>
      <c r="C37" s="264"/>
      <c r="D37" s="79">
        <v>16</v>
      </c>
      <c r="E37" s="97">
        <v>15</v>
      </c>
      <c r="F37" s="97">
        <v>15</v>
      </c>
      <c r="G37" s="68"/>
      <c r="H37" s="69"/>
      <c r="I37" s="193"/>
      <c r="J37" s="194"/>
      <c r="K37" s="31"/>
      <c r="L37" s="191"/>
      <c r="M37" s="192"/>
      <c r="N37" s="31"/>
      <c r="O37" s="219"/>
      <c r="P37" s="220"/>
      <c r="Q37" s="31"/>
      <c r="R37" s="31"/>
      <c r="S37" s="31"/>
      <c r="T37" s="31"/>
      <c r="U37" s="5"/>
    </row>
    <row r="38" spans="1:24" ht="16.5" customHeight="1" x14ac:dyDescent="0.2">
      <c r="A38" s="5"/>
      <c r="B38" s="263" t="s">
        <v>64</v>
      </c>
      <c r="C38" s="264"/>
      <c r="D38" s="79">
        <v>1</v>
      </c>
      <c r="E38" s="97">
        <v>1</v>
      </c>
      <c r="F38" s="97">
        <v>1</v>
      </c>
      <c r="G38" s="68"/>
      <c r="H38" s="69"/>
      <c r="I38" s="193"/>
      <c r="J38" s="194"/>
      <c r="K38" s="31"/>
      <c r="L38" s="191"/>
      <c r="M38" s="192"/>
      <c r="N38" s="31"/>
      <c r="O38" s="219"/>
      <c r="P38" s="220"/>
      <c r="Q38" s="31"/>
      <c r="R38" s="31"/>
      <c r="S38" s="31"/>
      <c r="T38" s="31"/>
      <c r="U38" s="5"/>
    </row>
    <row r="39" spans="1:24" ht="15" x14ac:dyDescent="0.2">
      <c r="A39" s="84"/>
      <c r="B39" s="224" t="s">
        <v>89</v>
      </c>
      <c r="C39" s="192"/>
      <c r="D39" s="97">
        <f>SUM(D30:D38)</f>
        <v>237</v>
      </c>
      <c r="E39" s="97">
        <f>SUM(E30:E38)</f>
        <v>234.46199999999999</v>
      </c>
      <c r="F39" s="97">
        <f>SUM(F30:F38)</f>
        <v>232.24000000000004</v>
      </c>
      <c r="G39" s="68"/>
      <c r="H39" s="69"/>
      <c r="I39" s="230"/>
      <c r="J39" s="230"/>
      <c r="K39" s="31"/>
      <c r="L39" s="191"/>
      <c r="M39" s="192"/>
      <c r="N39" s="18"/>
      <c r="O39" s="233"/>
      <c r="P39" s="194"/>
      <c r="Q39" s="18"/>
      <c r="R39" s="18"/>
      <c r="S39" s="18"/>
      <c r="T39" s="31"/>
      <c r="U39" s="5"/>
    </row>
    <row r="40" spans="1:24" ht="15" x14ac:dyDescent="0.2">
      <c r="A40" s="214" t="s">
        <v>67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26"/>
      <c r="R40" s="227"/>
      <c r="S40" s="227"/>
      <c r="T40" s="227"/>
      <c r="U40" s="100"/>
      <c r="V40" s="26"/>
      <c r="W40" s="26"/>
      <c r="X40" s="26"/>
    </row>
    <row r="41" spans="1:24" ht="15" x14ac:dyDescent="0.2">
      <c r="A41" s="5"/>
      <c r="B41" s="216" t="s">
        <v>14</v>
      </c>
      <c r="C41" s="217"/>
      <c r="D41" s="217"/>
      <c r="E41" s="216" t="s">
        <v>36</v>
      </c>
      <c r="F41" s="218"/>
      <c r="G41" s="85"/>
      <c r="H41" s="27"/>
      <c r="I41" s="221"/>
      <c r="J41" s="221"/>
      <c r="K41" s="234"/>
      <c r="L41" s="221"/>
      <c r="M41" s="221"/>
      <c r="N41" s="221"/>
      <c r="O41" s="221"/>
      <c r="P41" s="44"/>
      <c r="Q41" s="103"/>
      <c r="R41" s="234"/>
      <c r="S41" s="222"/>
      <c r="T41" s="222"/>
      <c r="U41" s="5"/>
    </row>
    <row r="42" spans="1:24" ht="15" x14ac:dyDescent="0.2">
      <c r="A42" s="5"/>
      <c r="B42" s="197" t="s">
        <v>37</v>
      </c>
      <c r="C42" s="198"/>
      <c r="D42" s="199"/>
      <c r="E42" s="206">
        <v>19</v>
      </c>
      <c r="F42" s="207"/>
      <c r="G42" s="85"/>
      <c r="H42" s="27"/>
      <c r="I42" s="213"/>
      <c r="J42" s="213"/>
      <c r="K42" s="200"/>
      <c r="L42" s="201"/>
      <c r="M42" s="201"/>
      <c r="N42" s="201"/>
      <c r="O42" s="201"/>
      <c r="P42" s="44"/>
      <c r="Q42" s="46"/>
      <c r="R42" s="200"/>
      <c r="S42" s="201"/>
      <c r="T42" s="201"/>
      <c r="U42" s="5"/>
    </row>
    <row r="43" spans="1:24" ht="15" x14ac:dyDescent="0.2">
      <c r="A43" s="5"/>
      <c r="B43" s="197" t="s">
        <v>81</v>
      </c>
      <c r="C43" s="198"/>
      <c r="D43" s="199"/>
      <c r="E43" s="206">
        <v>5</v>
      </c>
      <c r="F43" s="207"/>
      <c r="G43" s="85"/>
      <c r="H43" s="27"/>
      <c r="I43" s="222"/>
      <c r="J43" s="222"/>
      <c r="K43" s="200"/>
      <c r="L43" s="201"/>
      <c r="M43" s="201"/>
      <c r="N43" s="201"/>
      <c r="O43" s="201"/>
      <c r="P43" s="44"/>
      <c r="Q43" s="46"/>
      <c r="R43" s="200"/>
      <c r="S43" s="201"/>
      <c r="T43" s="201"/>
      <c r="U43" s="5"/>
    </row>
    <row r="44" spans="1:24" ht="15" x14ac:dyDescent="0.2">
      <c r="A44" s="5"/>
      <c r="B44" s="197" t="s">
        <v>82</v>
      </c>
      <c r="C44" s="198"/>
      <c r="D44" s="199"/>
      <c r="E44" s="206">
        <v>21</v>
      </c>
      <c r="F44" s="208"/>
      <c r="G44" s="22"/>
      <c r="H44" s="27"/>
      <c r="I44" s="222"/>
      <c r="J44" s="222"/>
      <c r="K44" s="200"/>
      <c r="L44" s="201"/>
      <c r="M44" s="201"/>
      <c r="N44" s="201"/>
      <c r="O44" s="201"/>
      <c r="P44" s="44"/>
      <c r="Q44" s="46"/>
      <c r="R44" s="200"/>
      <c r="S44" s="201"/>
      <c r="T44" s="201"/>
      <c r="U44" s="5"/>
    </row>
    <row r="45" spans="1:24" ht="15" x14ac:dyDescent="0.2">
      <c r="A45" s="5"/>
      <c r="B45" s="197" t="s">
        <v>40</v>
      </c>
      <c r="C45" s="198"/>
      <c r="D45" s="199"/>
      <c r="E45" s="206">
        <f>SUM(E42:F44)</f>
        <v>45</v>
      </c>
      <c r="F45" s="208"/>
      <c r="G45" s="53"/>
      <c r="H45" s="54"/>
      <c r="I45" s="223"/>
      <c r="J45" s="223"/>
      <c r="K45" s="205"/>
      <c r="L45" s="204"/>
      <c r="M45" s="204"/>
      <c r="N45" s="204"/>
      <c r="O45" s="204"/>
      <c r="P45" s="55"/>
      <c r="Q45" s="56"/>
      <c r="R45" s="203"/>
      <c r="S45" s="204"/>
      <c r="T45" s="204"/>
      <c r="U45" s="5"/>
    </row>
  </sheetData>
  <mergeCells count="87">
    <mergeCell ref="B44:D44"/>
    <mergeCell ref="E44:F44"/>
    <mergeCell ref="I44:J44"/>
    <mergeCell ref="K44:O44"/>
    <mergeCell ref="R44:T44"/>
    <mergeCell ref="B45:D45"/>
    <mergeCell ref="E45:F45"/>
    <mergeCell ref="I45:J45"/>
    <mergeCell ref="K45:O45"/>
    <mergeCell ref="R45:T45"/>
    <mergeCell ref="B42:D42"/>
    <mergeCell ref="E42:F42"/>
    <mergeCell ref="I42:J42"/>
    <mergeCell ref="K42:O42"/>
    <mergeCell ref="R42:T42"/>
    <mergeCell ref="B43:D43"/>
    <mergeCell ref="E43:F43"/>
    <mergeCell ref="I43:J43"/>
    <mergeCell ref="K43:O43"/>
    <mergeCell ref="R43:T43"/>
    <mergeCell ref="A40:H40"/>
    <mergeCell ref="I40:P40"/>
    <mergeCell ref="Q40:T40"/>
    <mergeCell ref="B41:D41"/>
    <mergeCell ref="E41:F41"/>
    <mergeCell ref="I41:J41"/>
    <mergeCell ref="K41:O41"/>
    <mergeCell ref="R41:T41"/>
    <mergeCell ref="B38:C38"/>
    <mergeCell ref="I38:J38"/>
    <mergeCell ref="L38:M38"/>
    <mergeCell ref="O38:P38"/>
    <mergeCell ref="B39:C39"/>
    <mergeCell ref="I39:J39"/>
    <mergeCell ref="L39:M39"/>
    <mergeCell ref="O39:P39"/>
    <mergeCell ref="B36:C36"/>
    <mergeCell ref="I36:J36"/>
    <mergeCell ref="L36:M36"/>
    <mergeCell ref="O36:P36"/>
    <mergeCell ref="B37:C37"/>
    <mergeCell ref="I37:J37"/>
    <mergeCell ref="L37:M37"/>
    <mergeCell ref="O37:P37"/>
    <mergeCell ref="B34:C34"/>
    <mergeCell ref="I34:J34"/>
    <mergeCell ref="L34:M34"/>
    <mergeCell ref="O34:P34"/>
    <mergeCell ref="B35:C35"/>
    <mergeCell ref="I35:J35"/>
    <mergeCell ref="L35:M35"/>
    <mergeCell ref="O35:P35"/>
    <mergeCell ref="B32:C32"/>
    <mergeCell ref="I32:J32"/>
    <mergeCell ref="L32:M32"/>
    <mergeCell ref="O32:P32"/>
    <mergeCell ref="B33:C33"/>
    <mergeCell ref="I33:J33"/>
    <mergeCell ref="L33:M33"/>
    <mergeCell ref="O33:P33"/>
    <mergeCell ref="W29:X29"/>
    <mergeCell ref="B30:C30"/>
    <mergeCell ref="I30:J30"/>
    <mergeCell ref="L30:M30"/>
    <mergeCell ref="O30:P30"/>
    <mergeCell ref="B31:C31"/>
    <mergeCell ref="I31:J31"/>
    <mergeCell ref="L31:M31"/>
    <mergeCell ref="O31:P31"/>
    <mergeCell ref="A28:H28"/>
    <mergeCell ref="I28:U28"/>
    <mergeCell ref="B29:C29"/>
    <mergeCell ref="I29:J29"/>
    <mergeCell ref="L29:M29"/>
    <mergeCell ref="O29:P29"/>
    <mergeCell ref="A27:T27"/>
    <mergeCell ref="A1:U1"/>
    <mergeCell ref="A2:U2"/>
    <mergeCell ref="A4:U4"/>
    <mergeCell ref="A6:U6"/>
    <mergeCell ref="B8:C8"/>
    <mergeCell ref="B15:C15"/>
    <mergeCell ref="B16:C16"/>
    <mergeCell ref="B17:O17"/>
    <mergeCell ref="Q17:T17"/>
    <mergeCell ref="Q18:R18"/>
    <mergeCell ref="D8:O8"/>
  </mergeCells>
  <pageMargins left="0.7" right="0.7" top="0.75" bottom="0.75" header="0.3" footer="0.3"/>
  <pageSetup scale="55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topLeftCell="A9" workbookViewId="0">
      <selection activeCell="P42" sqref="P42"/>
    </sheetView>
  </sheetViews>
  <sheetFormatPr baseColWidth="10" defaultColWidth="10.33203125" defaultRowHeight="13" outlineLevelRow="1" x14ac:dyDescent="0.15"/>
  <cols>
    <col min="1" max="1" width="1.1640625" style="110" customWidth="1"/>
    <col min="2" max="2" width="11.6640625" style="110" customWidth="1"/>
    <col min="3" max="3" width="16.33203125" style="110" customWidth="1"/>
    <col min="4" max="4" width="12.5" style="110" bestFit="1" customWidth="1"/>
    <col min="5" max="5" width="12.6640625" style="110" customWidth="1"/>
    <col min="6" max="7" width="11.5" style="110" bestFit="1" customWidth="1"/>
    <col min="8" max="8" width="11.5" style="189" bestFit="1" customWidth="1"/>
    <col min="9" max="9" width="11.6640625" style="110" bestFit="1" customWidth="1"/>
    <col min="10" max="10" width="11.5" style="110" bestFit="1" customWidth="1"/>
    <col min="11" max="11" width="11.5" style="110" customWidth="1"/>
    <col min="12" max="12" width="11.5" style="110" bestFit="1" customWidth="1"/>
    <col min="13" max="13" width="11.1640625" style="110" customWidth="1"/>
    <col min="14" max="14" width="12.5" style="110" customWidth="1"/>
    <col min="15" max="15" width="10.5" style="110" customWidth="1"/>
    <col min="16" max="16" width="1.1640625" style="110" customWidth="1"/>
    <col min="17" max="17" width="14.33203125" style="110" customWidth="1"/>
    <col min="18" max="18" width="10.6640625" style="110" customWidth="1"/>
    <col min="19" max="19" width="12" style="110" bestFit="1" customWidth="1"/>
    <col min="20" max="20" width="14.33203125" style="153" customWidth="1"/>
    <col min="21" max="21" width="0.83203125" style="110" customWidth="1"/>
    <col min="22" max="16384" width="10.33203125" style="110"/>
  </cols>
  <sheetData>
    <row r="1" spans="1:21" ht="27.75" customHeight="1" x14ac:dyDescent="0.3">
      <c r="A1" s="272" t="s">
        <v>54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19.5" customHeight="1" x14ac:dyDescent="0.25">
      <c r="A2" s="239" t="s">
        <v>115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21" ht="25.5" customHeight="1" thickBot="1" x14ac:dyDescent="0.25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.75" customHeight="1" thickBot="1" x14ac:dyDescent="0.25">
      <c r="A4" s="275" t="s">
        <v>35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</row>
    <row r="5" spans="1:21" s="115" customFormat="1" ht="2.25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15" x14ac:dyDescent="0.2">
      <c r="A6" s="278" t="s">
        <v>33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</row>
    <row r="7" spans="1:21" s="117" customFormat="1" x14ac:dyDescent="0.15">
      <c r="A7" s="116"/>
      <c r="D7" s="117" t="s">
        <v>18</v>
      </c>
      <c r="E7" s="117" t="s">
        <v>24</v>
      </c>
      <c r="F7" s="118" t="s">
        <v>25</v>
      </c>
      <c r="G7" s="118" t="s">
        <v>23</v>
      </c>
      <c r="H7" s="117" t="s">
        <v>26</v>
      </c>
      <c r="I7" s="117" t="s">
        <v>27</v>
      </c>
      <c r="J7" s="117" t="s">
        <v>28</v>
      </c>
      <c r="K7" s="117" t="s">
        <v>29</v>
      </c>
      <c r="L7" s="117" t="s">
        <v>22</v>
      </c>
      <c r="M7" s="117" t="s">
        <v>19</v>
      </c>
      <c r="N7" s="117" t="s">
        <v>20</v>
      </c>
      <c r="O7" s="117" t="s">
        <v>21</v>
      </c>
      <c r="P7" s="119"/>
      <c r="Q7" s="117" t="s">
        <v>31</v>
      </c>
      <c r="R7" s="117" t="s">
        <v>15</v>
      </c>
      <c r="S7" s="117" t="s">
        <v>30</v>
      </c>
      <c r="T7" s="117" t="s">
        <v>32</v>
      </c>
      <c r="U7" s="116"/>
    </row>
    <row r="8" spans="1:21" s="117" customFormat="1" ht="13.5" customHeight="1" x14ac:dyDescent="0.2">
      <c r="A8" s="116"/>
      <c r="B8" s="280" t="s">
        <v>44</v>
      </c>
      <c r="C8" s="280"/>
      <c r="D8" s="285" t="s">
        <v>31</v>
      </c>
      <c r="E8" s="265"/>
      <c r="F8" s="265"/>
      <c r="G8" s="265"/>
      <c r="H8" s="265"/>
      <c r="I8" s="265"/>
      <c r="J8" s="265"/>
      <c r="K8" s="286" t="s">
        <v>108</v>
      </c>
      <c r="L8" s="287"/>
      <c r="M8" s="287"/>
      <c r="N8" s="287"/>
      <c r="O8" s="287"/>
      <c r="P8" s="119"/>
      <c r="U8" s="116"/>
    </row>
    <row r="9" spans="1:21" ht="15" x14ac:dyDescent="0.2">
      <c r="A9" s="120"/>
      <c r="B9" s="110" t="s">
        <v>16</v>
      </c>
      <c r="D9" s="121">
        <f>D10+D11</f>
        <v>498126.23</v>
      </c>
      <c r="E9" s="121">
        <f>E10+E11</f>
        <v>245592</v>
      </c>
      <c r="F9" s="121">
        <f>F10+F11</f>
        <v>232589</v>
      </c>
      <c r="G9" s="121">
        <f>G10+G11</f>
        <v>268164</v>
      </c>
      <c r="H9" s="121">
        <f>H10+H11</f>
        <v>320615.17</v>
      </c>
      <c r="I9" s="122">
        <f t="shared" ref="I9:O9" si="0">SUM(I10:I11)</f>
        <v>260193.47</v>
      </c>
      <c r="J9" s="121">
        <f t="shared" si="0"/>
        <v>285282.75</v>
      </c>
      <c r="K9" s="121">
        <f t="shared" si="0"/>
        <v>256350</v>
      </c>
      <c r="L9" s="121">
        <f t="shared" si="0"/>
        <v>242850</v>
      </c>
      <c r="M9" s="121">
        <f t="shared" si="0"/>
        <v>242850</v>
      </c>
      <c r="N9" s="121">
        <f t="shared" si="0"/>
        <v>436904</v>
      </c>
      <c r="O9" s="121">
        <f t="shared" si="0"/>
        <v>304377</v>
      </c>
      <c r="P9" s="123"/>
      <c r="Q9" s="124">
        <f>Q10+Q11</f>
        <v>3593893.62</v>
      </c>
      <c r="R9" s="121">
        <f>R10+R11</f>
        <v>3666174</v>
      </c>
      <c r="S9" s="125">
        <f>Q9-R9</f>
        <v>-72280.379999999888</v>
      </c>
      <c r="T9" s="126">
        <f>S9/R9</f>
        <v>-1.9715479952669975E-2</v>
      </c>
      <c r="U9" s="120"/>
    </row>
    <row r="10" spans="1:21" ht="15" customHeight="1" outlineLevel="1" x14ac:dyDescent="0.15">
      <c r="A10" s="120"/>
      <c r="B10" s="127" t="s">
        <v>42</v>
      </c>
      <c r="D10" s="125">
        <v>0</v>
      </c>
      <c r="E10" s="121">
        <f>126289+8368</f>
        <v>134657</v>
      </c>
      <c r="F10" s="121">
        <f>128016+10408</f>
        <v>138424</v>
      </c>
      <c r="G10" s="121">
        <f>152186</f>
        <v>152186</v>
      </c>
      <c r="H10" s="121">
        <f>117769.28+8567.89</f>
        <v>126337.17</v>
      </c>
      <c r="I10" s="121">
        <f>132552.59+9115.51</f>
        <v>141668.1</v>
      </c>
      <c r="J10" s="121">
        <f>139189.97+9952.67+16106.25</f>
        <v>165248.89000000001</v>
      </c>
      <c r="K10" s="121">
        <f>135387+9461+13500</f>
        <v>158348</v>
      </c>
      <c r="L10" s="121">
        <f>135387+9461</f>
        <v>144848</v>
      </c>
      <c r="M10" s="121">
        <f>135387+9461</f>
        <v>144848</v>
      </c>
      <c r="N10" s="121">
        <f>135387+9461</f>
        <v>144848</v>
      </c>
      <c r="O10" s="121">
        <f>270773+5900+4000+18922-3</f>
        <v>299592</v>
      </c>
      <c r="P10" s="123"/>
      <c r="Q10" s="124">
        <f>SUM(D10:O10)</f>
        <v>1751005.1600000001</v>
      </c>
      <c r="R10" s="121">
        <f>1636442+8000+113530+27000</f>
        <v>1784972</v>
      </c>
      <c r="S10" s="121"/>
      <c r="T10" s="126"/>
      <c r="U10" s="120"/>
    </row>
    <row r="11" spans="1:21" ht="15" customHeight="1" outlineLevel="1" x14ac:dyDescent="0.2">
      <c r="A11" s="120"/>
      <c r="B11" s="110" t="s">
        <v>107</v>
      </c>
      <c r="D11" s="121">
        <v>498126.23</v>
      </c>
      <c r="E11" s="121">
        <f>245592-134657</f>
        <v>110935</v>
      </c>
      <c r="F11" s="128">
        <f>232589-138424</f>
        <v>94165</v>
      </c>
      <c r="G11" s="121">
        <f>268164-152186</f>
        <v>115978</v>
      </c>
      <c r="H11" s="121">
        <f>320615-126337</f>
        <v>194278</v>
      </c>
      <c r="I11" s="121">
        <f>260193.37-141668</f>
        <v>118525.37</v>
      </c>
      <c r="J11" s="121">
        <f>120033.86</f>
        <v>120033.86</v>
      </c>
      <c r="K11" s="128">
        <f>83479-3595+350+17218+1300-750</f>
        <v>98002</v>
      </c>
      <c r="L11" s="128">
        <f>83479-3595+350+17218+1300-750</f>
        <v>98002</v>
      </c>
      <c r="M11" s="128">
        <f>83479-3595+350+17218+1300-750</f>
        <v>98002</v>
      </c>
      <c r="N11" s="128">
        <f>83479-3595+350+17218+190000+1300+5000-750-946</f>
        <v>292056</v>
      </c>
      <c r="O11" s="128">
        <v>4785</v>
      </c>
      <c r="P11" s="123"/>
      <c r="Q11" s="124">
        <f>SUM(D11:O11)</f>
        <v>1842888.4600000002</v>
      </c>
      <c r="R11" s="121">
        <v>1881202</v>
      </c>
      <c r="S11" s="121"/>
      <c r="T11" s="126"/>
      <c r="U11" s="120"/>
    </row>
    <row r="12" spans="1:21" x14ac:dyDescent="0.15">
      <c r="A12" s="120"/>
      <c r="B12" s="110" t="s">
        <v>17</v>
      </c>
      <c r="D12" s="129">
        <v>169581.3</v>
      </c>
      <c r="E12" s="129">
        <v>260968</v>
      </c>
      <c r="F12" s="129">
        <v>276204</v>
      </c>
      <c r="G12" s="129">
        <v>383025</v>
      </c>
      <c r="H12" s="129">
        <v>294232.37</v>
      </c>
      <c r="I12" s="129">
        <v>182798.35</v>
      </c>
      <c r="J12" s="129">
        <f>361958.29</f>
        <v>361958.29</v>
      </c>
      <c r="K12" s="130">
        <f>4495+279518+9700+1764</f>
        <v>295477</v>
      </c>
      <c r="L12" s="130">
        <f>4495+279518+9700+1764</f>
        <v>295477</v>
      </c>
      <c r="M12" s="130">
        <f>4495+60000+279518+9700+1764</f>
        <v>355477</v>
      </c>
      <c r="N12" s="130">
        <f>279518+106150+4495+5000+23500+9700+1764</f>
        <v>430127</v>
      </c>
      <c r="O12" s="130">
        <f>279518+30000+1500+9700+1760</f>
        <v>322478</v>
      </c>
      <c r="P12" s="131"/>
      <c r="Q12" s="129">
        <f>SUM(D12:O12)</f>
        <v>3627803.31</v>
      </c>
      <c r="R12" s="129">
        <v>3666174</v>
      </c>
      <c r="S12" s="132">
        <f>R12-Q12</f>
        <v>38370.689999999944</v>
      </c>
      <c r="T12" s="133">
        <f>S12/R12</f>
        <v>1.0466139904979944E-2</v>
      </c>
      <c r="U12" s="120"/>
    </row>
    <row r="13" spans="1:21" x14ac:dyDescent="0.15">
      <c r="A13" s="120"/>
      <c r="B13" s="110" t="s">
        <v>65</v>
      </c>
      <c r="D13" s="125">
        <f>D9-D12</f>
        <v>328544.93</v>
      </c>
      <c r="E13" s="134">
        <f>E9-E12</f>
        <v>-15376</v>
      </c>
      <c r="F13" s="125">
        <f t="shared" ref="F13:R13" si="1">F9-F12</f>
        <v>-43615</v>
      </c>
      <c r="G13" s="125">
        <f t="shared" si="1"/>
        <v>-114861</v>
      </c>
      <c r="H13" s="125">
        <f t="shared" si="1"/>
        <v>26382.799999999988</v>
      </c>
      <c r="I13" s="125">
        <f t="shared" si="1"/>
        <v>77395.12</v>
      </c>
      <c r="J13" s="125">
        <f t="shared" si="1"/>
        <v>-76675.539999999979</v>
      </c>
      <c r="K13" s="125">
        <f t="shared" si="1"/>
        <v>-39127</v>
      </c>
      <c r="L13" s="125">
        <f t="shared" si="1"/>
        <v>-52627</v>
      </c>
      <c r="M13" s="125">
        <f t="shared" si="1"/>
        <v>-112627</v>
      </c>
      <c r="N13" s="125">
        <f t="shared" si="1"/>
        <v>6777</v>
      </c>
      <c r="O13" s="125">
        <f>O9-O12</f>
        <v>-18101</v>
      </c>
      <c r="P13" s="123">
        <f t="shared" si="1"/>
        <v>0</v>
      </c>
      <c r="Q13" s="134">
        <f>Q9-Q12+1</f>
        <v>-33908.689999999944</v>
      </c>
      <c r="R13" s="121">
        <f t="shared" si="1"/>
        <v>0</v>
      </c>
      <c r="S13" s="125">
        <f>S9+S12+1</f>
        <v>-33908.689999999944</v>
      </c>
      <c r="T13" s="135" t="e">
        <f>S13/R13</f>
        <v>#DIV/0!</v>
      </c>
      <c r="U13" s="120"/>
    </row>
    <row r="14" spans="1:21" x14ac:dyDescent="0.15">
      <c r="A14" s="120"/>
      <c r="E14" s="136"/>
      <c r="F14" s="136"/>
      <c r="G14" s="136"/>
      <c r="H14" s="136"/>
      <c r="I14" s="136"/>
      <c r="J14" s="136"/>
      <c r="O14" s="136"/>
      <c r="P14" s="137"/>
      <c r="Q14" s="136"/>
      <c r="R14" s="136"/>
      <c r="S14" s="136"/>
      <c r="T14" s="126"/>
      <c r="U14" s="120"/>
    </row>
    <row r="15" spans="1:21" ht="15" customHeight="1" x14ac:dyDescent="0.15">
      <c r="A15" s="120"/>
      <c r="B15" s="281" t="s">
        <v>88</v>
      </c>
      <c r="C15" s="281"/>
      <c r="D15" s="138">
        <v>704517</v>
      </c>
      <c r="E15" s="139">
        <v>650449</v>
      </c>
      <c r="F15" s="139">
        <v>642919</v>
      </c>
      <c r="G15" s="139">
        <v>461313</v>
      </c>
      <c r="H15" s="139">
        <v>519897.61</v>
      </c>
      <c r="I15" s="139">
        <v>554638.51</v>
      </c>
      <c r="J15" s="139">
        <v>470973.42</v>
      </c>
      <c r="K15" s="139">
        <f>748346-39127+17273+115348</f>
        <v>841840</v>
      </c>
      <c r="L15" s="139">
        <f>841840-52627+17273+115347</f>
        <v>921833</v>
      </c>
      <c r="M15" s="139">
        <f>921833-112627+17273</f>
        <v>826479</v>
      </c>
      <c r="N15" s="139">
        <f>826479+6777-190000</f>
        <v>643256</v>
      </c>
      <c r="O15" s="139">
        <f>643256-18101-213500</f>
        <v>411655</v>
      </c>
      <c r="P15" s="137"/>
      <c r="Q15" s="124">
        <v>411655</v>
      </c>
      <c r="R15" s="140">
        <v>411655</v>
      </c>
      <c r="S15" s="124">
        <f>Q15-R15</f>
        <v>0</v>
      </c>
      <c r="T15" s="141">
        <f>S15/R15</f>
        <v>0</v>
      </c>
      <c r="U15" s="120"/>
    </row>
    <row r="16" spans="1:21" ht="15" customHeight="1" x14ac:dyDescent="0.15">
      <c r="A16" s="120"/>
      <c r="B16" s="281"/>
      <c r="C16" s="281"/>
      <c r="D16" s="14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37"/>
      <c r="Q16" s="144"/>
      <c r="R16" s="128"/>
      <c r="S16" s="134"/>
      <c r="T16" s="126"/>
      <c r="U16" s="120"/>
    </row>
    <row r="17" spans="1:21" ht="15" x14ac:dyDescent="0.2">
      <c r="A17" s="120"/>
      <c r="B17" s="278" t="s">
        <v>6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120"/>
      <c r="Q17" s="282"/>
      <c r="R17" s="279"/>
      <c r="S17" s="279"/>
      <c r="T17" s="279"/>
      <c r="U17" s="120"/>
    </row>
    <row r="18" spans="1:21" ht="15" x14ac:dyDescent="0.2">
      <c r="A18" s="120"/>
      <c r="B18" s="145" t="s">
        <v>7</v>
      </c>
      <c r="F18" s="145" t="s">
        <v>8</v>
      </c>
      <c r="G18" s="117" t="s">
        <v>103</v>
      </c>
      <c r="H18" s="117" t="s">
        <v>104</v>
      </c>
      <c r="I18" s="117" t="s">
        <v>105</v>
      </c>
      <c r="J18" s="117" t="s">
        <v>106</v>
      </c>
      <c r="K18" s="146"/>
      <c r="P18" s="120"/>
      <c r="Q18" s="283"/>
      <c r="R18" s="284"/>
      <c r="S18" s="147"/>
      <c r="T18" s="147"/>
      <c r="U18" s="120"/>
    </row>
    <row r="19" spans="1:21" x14ac:dyDescent="0.15">
      <c r="A19" s="120"/>
      <c r="B19" s="110" t="s">
        <v>0</v>
      </c>
      <c r="F19" s="148" t="s">
        <v>9</v>
      </c>
      <c r="G19" s="149">
        <f>750398/117424</f>
        <v>6.390499386837444</v>
      </c>
      <c r="H19" s="149">
        <f>651383.74/111367.53</f>
        <v>5.8489556156987588</v>
      </c>
      <c r="I19" s="150"/>
      <c r="J19" s="151"/>
      <c r="K19" s="152"/>
      <c r="P19" s="120"/>
      <c r="S19" s="153"/>
      <c r="U19" s="120"/>
    </row>
    <row r="20" spans="1:21" x14ac:dyDescent="0.15">
      <c r="A20" s="120"/>
      <c r="B20" s="47" t="s">
        <v>110</v>
      </c>
      <c r="F20" s="148" t="s">
        <v>97</v>
      </c>
      <c r="G20" s="149"/>
      <c r="H20" s="149">
        <v>1.64</v>
      </c>
      <c r="I20" s="154"/>
      <c r="J20" s="151"/>
      <c r="K20" s="152"/>
      <c r="P20" s="120"/>
      <c r="S20" s="153"/>
      <c r="U20" s="120"/>
    </row>
    <row r="21" spans="1:21" x14ac:dyDescent="0.15">
      <c r="A21" s="120"/>
      <c r="B21" s="47" t="s">
        <v>109</v>
      </c>
      <c r="F21" s="148" t="s">
        <v>11</v>
      </c>
      <c r="G21" s="155">
        <f>642919/(706753/92)</f>
        <v>83.690551012871538</v>
      </c>
      <c r="H21" s="155">
        <f>(554638.51/(1569792.94/184))</f>
        <v>65.010794251629136</v>
      </c>
      <c r="I21" s="156"/>
      <c r="J21" s="157"/>
      <c r="K21" s="152"/>
      <c r="P21" s="120"/>
      <c r="S21" s="153"/>
      <c r="T21" s="158"/>
      <c r="U21" s="120"/>
    </row>
    <row r="22" spans="1:21" x14ac:dyDescent="0.15">
      <c r="A22" s="120"/>
      <c r="B22" s="110" t="s">
        <v>53</v>
      </c>
      <c r="F22" s="148" t="s">
        <v>12</v>
      </c>
      <c r="G22" s="159">
        <f>269555/976308</f>
        <v>0.27609627289748728</v>
      </c>
      <c r="H22" s="159">
        <f>257162.45/1826955.39</f>
        <v>0.14076011456415474</v>
      </c>
      <c r="I22" s="160"/>
      <c r="J22" s="161"/>
      <c r="K22" s="152"/>
      <c r="P22" s="120"/>
      <c r="S22" s="153"/>
      <c r="T22" s="162"/>
      <c r="U22" s="120"/>
    </row>
    <row r="23" spans="1:21" x14ac:dyDescent="0.15">
      <c r="A23" s="120"/>
      <c r="B23" s="110" t="s">
        <v>2</v>
      </c>
      <c r="F23" s="148" t="s">
        <v>12</v>
      </c>
      <c r="G23" s="159">
        <f>1052593/706753</f>
        <v>1.4893364442740251</v>
      </c>
      <c r="H23" s="159">
        <f>1040201.17/1569792.94</f>
        <v>0.66263590789241289</v>
      </c>
      <c r="I23" s="160"/>
      <c r="J23" s="161"/>
      <c r="K23" s="152"/>
      <c r="P23" s="120"/>
      <c r="S23" s="153"/>
      <c r="T23" s="162"/>
      <c r="U23" s="120"/>
    </row>
    <row r="24" spans="1:21" x14ac:dyDescent="0.15">
      <c r="A24" s="120"/>
      <c r="B24" s="110" t="s">
        <v>3</v>
      </c>
      <c r="F24" s="159">
        <v>0.1</v>
      </c>
      <c r="G24" s="159">
        <f>(840+7558+307+1699)/976308</f>
        <v>1.0656473162157844E-2</v>
      </c>
      <c r="H24" s="159">
        <f>(157547.11+24469.79+12873.84+568.44+6067.58)/1826955.39</f>
        <v>0.11030743339606119</v>
      </c>
      <c r="I24" s="160"/>
      <c r="J24" s="161"/>
      <c r="K24" s="152"/>
      <c r="P24" s="120"/>
      <c r="S24" s="153"/>
      <c r="T24" s="162"/>
      <c r="U24" s="120"/>
    </row>
    <row r="25" spans="1:21" ht="15" x14ac:dyDescent="0.2">
      <c r="A25" s="120"/>
      <c r="B25" s="110" t="s">
        <v>4</v>
      </c>
      <c r="F25" s="148" t="s">
        <v>13</v>
      </c>
      <c r="G25" s="159">
        <f>(267877+60388+19040+2840+1560+59796+18588+6508+498)/706753</f>
        <v>0.6184551038340127</v>
      </c>
      <c r="H25" s="163">
        <f>(636902.98+152233.71+44628.27+6440+3490.68+135646.35+40566.77+14758.33+1129.04+2036.63+160.72)/1569792.94</f>
        <v>0.66122955043994525</v>
      </c>
      <c r="I25" s="160"/>
      <c r="J25" s="161"/>
      <c r="K25" s="152"/>
      <c r="P25" s="120"/>
      <c r="S25" s="153"/>
      <c r="U25" s="120"/>
    </row>
    <row r="26" spans="1:21" x14ac:dyDescent="0.15">
      <c r="A26" s="120"/>
      <c r="B26" s="110" t="s">
        <v>5</v>
      </c>
      <c r="F26" s="148"/>
      <c r="G26" s="159">
        <f>(7777+5080+889+7125+13325+2614+14645)/706753</f>
        <v>7.2804784698473152E-2</v>
      </c>
      <c r="H26" s="159">
        <f>(78246.29+20343+5006.32)/1569792.94</f>
        <v>6.5993168500299154E-2</v>
      </c>
      <c r="I26" s="160"/>
      <c r="J26" s="161"/>
      <c r="K26" s="152"/>
      <c r="P26" s="120"/>
      <c r="Q26" s="115"/>
      <c r="U26" s="120"/>
    </row>
    <row r="27" spans="1:21" ht="16" x14ac:dyDescent="0.2">
      <c r="A27" s="270" t="s">
        <v>34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164"/>
    </row>
    <row r="28" spans="1:21" ht="15" x14ac:dyDescent="0.2">
      <c r="A28" s="278" t="s">
        <v>70</v>
      </c>
      <c r="B28" s="296"/>
      <c r="C28" s="296"/>
      <c r="D28" s="296"/>
      <c r="E28" s="296"/>
      <c r="F28" s="296"/>
      <c r="G28" s="296"/>
      <c r="H28" s="296"/>
      <c r="I28" s="278" t="s">
        <v>76</v>
      </c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</row>
    <row r="29" spans="1:21" ht="15" x14ac:dyDescent="0.2">
      <c r="A29" s="120"/>
      <c r="B29" s="297"/>
      <c r="C29" s="298"/>
      <c r="D29" s="165" t="s">
        <v>94</v>
      </c>
      <c r="E29" s="166" t="s">
        <v>91</v>
      </c>
      <c r="F29" s="167" t="s">
        <v>92</v>
      </c>
      <c r="G29" s="168"/>
      <c r="H29" s="169"/>
      <c r="I29" s="299"/>
      <c r="J29" s="299"/>
      <c r="K29" s="170"/>
      <c r="L29" s="300"/>
      <c r="M29" s="293"/>
      <c r="N29" s="170" t="s">
        <v>15</v>
      </c>
      <c r="O29" s="301" t="s">
        <v>31</v>
      </c>
      <c r="P29" s="302"/>
      <c r="Q29" s="170" t="s">
        <v>71</v>
      </c>
      <c r="R29" s="170" t="s">
        <v>72</v>
      </c>
      <c r="S29" s="170" t="s">
        <v>73</v>
      </c>
      <c r="T29" s="170"/>
      <c r="U29" s="120"/>
    </row>
    <row r="30" spans="1:21" ht="15" x14ac:dyDescent="0.2">
      <c r="A30" s="120"/>
      <c r="B30" s="288" t="s">
        <v>56</v>
      </c>
      <c r="C30" s="289"/>
      <c r="D30" s="171">
        <v>30</v>
      </c>
      <c r="E30" s="171">
        <v>30</v>
      </c>
      <c r="F30" s="172">
        <v>29.71</v>
      </c>
      <c r="G30" s="168"/>
      <c r="H30" s="169"/>
      <c r="I30" s="290"/>
      <c r="J30" s="291"/>
      <c r="K30" s="171"/>
      <c r="L30" s="303" t="s">
        <v>74</v>
      </c>
      <c r="M30" s="293"/>
      <c r="N30" s="173">
        <v>18</v>
      </c>
      <c r="O30" s="294">
        <v>14</v>
      </c>
      <c r="P30" s="295"/>
      <c r="Q30" s="173">
        <v>4</v>
      </c>
      <c r="R30" s="173">
        <v>4</v>
      </c>
      <c r="S30" s="173">
        <v>6</v>
      </c>
      <c r="T30" s="171"/>
      <c r="U30" s="120"/>
    </row>
    <row r="31" spans="1:21" ht="15" x14ac:dyDescent="0.2">
      <c r="A31" s="120"/>
      <c r="B31" s="288" t="s">
        <v>57</v>
      </c>
      <c r="C31" s="289"/>
      <c r="D31" s="171">
        <v>30</v>
      </c>
      <c r="E31" s="171">
        <v>30</v>
      </c>
      <c r="F31" s="172">
        <v>29.76</v>
      </c>
      <c r="G31" s="168"/>
      <c r="H31" s="169"/>
      <c r="I31" s="290"/>
      <c r="J31" s="291"/>
      <c r="K31" s="174"/>
      <c r="L31" s="292" t="s">
        <v>75</v>
      </c>
      <c r="M31" s="293"/>
      <c r="N31" s="173">
        <v>82</v>
      </c>
      <c r="O31" s="294">
        <v>88</v>
      </c>
      <c r="P31" s="295"/>
      <c r="Q31" s="173">
        <v>1</v>
      </c>
      <c r="R31" s="173">
        <v>48</v>
      </c>
      <c r="S31" s="173">
        <v>39</v>
      </c>
      <c r="T31" s="174"/>
      <c r="U31" s="120"/>
    </row>
    <row r="32" spans="1:21" ht="15" x14ac:dyDescent="0.2">
      <c r="A32" s="120"/>
      <c r="B32" s="288" t="s">
        <v>58</v>
      </c>
      <c r="C32" s="289"/>
      <c r="D32" s="171">
        <v>32</v>
      </c>
      <c r="E32" s="171">
        <v>32</v>
      </c>
      <c r="F32" s="172">
        <v>32</v>
      </c>
      <c r="G32" s="168"/>
      <c r="H32" s="169"/>
      <c r="I32" s="304"/>
      <c r="J32" s="305"/>
      <c r="K32" s="174"/>
      <c r="L32" s="292" t="s">
        <v>77</v>
      </c>
      <c r="M32" s="293"/>
      <c r="N32" s="173">
        <v>93</v>
      </c>
      <c r="O32" s="306">
        <v>91</v>
      </c>
      <c r="P32" s="307"/>
      <c r="Q32" s="175"/>
      <c r="R32" s="175"/>
      <c r="S32" s="175"/>
      <c r="T32" s="174"/>
      <c r="U32" s="120"/>
    </row>
    <row r="33" spans="1:21" ht="15" x14ac:dyDescent="0.2">
      <c r="A33" s="120"/>
      <c r="B33" s="288" t="s">
        <v>59</v>
      </c>
      <c r="C33" s="289"/>
      <c r="D33" s="171">
        <v>26</v>
      </c>
      <c r="E33" s="171">
        <v>26</v>
      </c>
      <c r="F33" s="172">
        <v>26.05</v>
      </c>
      <c r="G33" s="168"/>
      <c r="H33" s="169"/>
      <c r="I33" s="304"/>
      <c r="J33" s="305"/>
      <c r="K33" s="174"/>
      <c r="L33" s="292" t="s">
        <v>78</v>
      </c>
      <c r="M33" s="293"/>
      <c r="N33" s="173">
        <v>92</v>
      </c>
      <c r="O33" s="306">
        <v>89</v>
      </c>
      <c r="P33" s="307"/>
      <c r="Q33" s="175"/>
      <c r="R33" s="175"/>
      <c r="S33" s="175"/>
      <c r="T33" s="174"/>
      <c r="U33" s="120"/>
    </row>
    <row r="34" spans="1:21" ht="15" x14ac:dyDescent="0.2">
      <c r="A34" s="120"/>
      <c r="B34" s="288" t="s">
        <v>60</v>
      </c>
      <c r="C34" s="289"/>
      <c r="D34" s="171">
        <v>42</v>
      </c>
      <c r="E34" s="171">
        <v>42</v>
      </c>
      <c r="F34" s="172">
        <v>42</v>
      </c>
      <c r="G34" s="168"/>
      <c r="H34" s="169"/>
      <c r="I34" s="304"/>
      <c r="J34" s="305"/>
      <c r="K34" s="174"/>
      <c r="L34" s="292" t="s">
        <v>79</v>
      </c>
      <c r="M34" s="293"/>
      <c r="N34" s="173">
        <v>30</v>
      </c>
      <c r="O34" s="306">
        <v>28</v>
      </c>
      <c r="P34" s="307"/>
      <c r="Q34" s="175"/>
      <c r="R34" s="175"/>
      <c r="S34" s="175"/>
      <c r="T34" s="174"/>
      <c r="U34" s="120"/>
    </row>
    <row r="35" spans="1:21" ht="15" x14ac:dyDescent="0.2">
      <c r="A35" s="120"/>
      <c r="B35" s="288" t="s">
        <v>61</v>
      </c>
      <c r="C35" s="289"/>
      <c r="D35" s="171">
        <v>22</v>
      </c>
      <c r="E35" s="171">
        <v>22</v>
      </c>
      <c r="F35" s="172">
        <v>21.71</v>
      </c>
      <c r="G35" s="168"/>
      <c r="H35" s="169"/>
      <c r="I35" s="304"/>
      <c r="J35" s="305"/>
      <c r="K35" s="174"/>
      <c r="L35" s="292" t="s">
        <v>80</v>
      </c>
      <c r="M35" s="293"/>
      <c r="N35" s="176">
        <f>SUM(N30:N34)</f>
        <v>315</v>
      </c>
      <c r="O35" s="294">
        <f>SUM(O30:P34)</f>
        <v>310</v>
      </c>
      <c r="P35" s="307"/>
      <c r="Q35" s="175"/>
      <c r="R35" s="175"/>
      <c r="S35" s="175"/>
      <c r="T35" s="174"/>
      <c r="U35" s="120"/>
    </row>
    <row r="36" spans="1:21" ht="15" x14ac:dyDescent="0.2">
      <c r="A36" s="120"/>
      <c r="B36" s="288" t="s">
        <v>62</v>
      </c>
      <c r="C36" s="289"/>
      <c r="D36" s="171">
        <v>16</v>
      </c>
      <c r="E36" s="171">
        <v>16</v>
      </c>
      <c r="F36" s="172">
        <v>16</v>
      </c>
      <c r="G36" s="168"/>
      <c r="H36" s="169"/>
      <c r="I36" s="304"/>
      <c r="J36" s="305"/>
      <c r="K36" s="174"/>
      <c r="L36" s="292"/>
      <c r="M36" s="293"/>
      <c r="N36" s="174"/>
      <c r="O36" s="308"/>
      <c r="P36" s="309"/>
      <c r="Q36" s="174"/>
      <c r="R36" s="174"/>
      <c r="S36" s="174"/>
      <c r="T36" s="174"/>
      <c r="U36" s="120"/>
    </row>
    <row r="37" spans="1:21" ht="15" x14ac:dyDescent="0.2">
      <c r="A37" s="120"/>
      <c r="B37" s="288" t="s">
        <v>63</v>
      </c>
      <c r="C37" s="289"/>
      <c r="D37" s="171">
        <v>14</v>
      </c>
      <c r="E37" s="171">
        <v>14</v>
      </c>
      <c r="F37" s="172">
        <v>14</v>
      </c>
      <c r="G37" s="168"/>
      <c r="H37" s="169"/>
      <c r="I37" s="304"/>
      <c r="J37" s="305"/>
      <c r="K37" s="148"/>
      <c r="L37" s="310"/>
      <c r="M37" s="293"/>
      <c r="N37" s="148"/>
      <c r="O37" s="308"/>
      <c r="P37" s="309"/>
      <c r="Q37" s="148"/>
      <c r="R37" s="148"/>
      <c r="S37" s="148"/>
      <c r="T37" s="148"/>
      <c r="U37" s="120"/>
    </row>
    <row r="38" spans="1:21" ht="16.5" customHeight="1" x14ac:dyDescent="0.2">
      <c r="A38" s="120"/>
      <c r="B38" s="288" t="s">
        <v>64</v>
      </c>
      <c r="C38" s="289"/>
      <c r="D38" s="171">
        <v>0</v>
      </c>
      <c r="E38" s="171">
        <v>0</v>
      </c>
      <c r="F38" s="172">
        <v>0</v>
      </c>
      <c r="G38" s="168"/>
      <c r="H38" s="169"/>
      <c r="I38" s="304"/>
      <c r="J38" s="305"/>
      <c r="K38" s="148"/>
      <c r="L38" s="310"/>
      <c r="M38" s="293"/>
      <c r="N38" s="148"/>
      <c r="O38" s="308"/>
      <c r="P38" s="309"/>
      <c r="Q38" s="148"/>
      <c r="R38" s="148"/>
      <c r="S38" s="148"/>
      <c r="T38" s="148"/>
      <c r="U38" s="120"/>
    </row>
    <row r="39" spans="1:21" ht="15" x14ac:dyDescent="0.2">
      <c r="A39" s="177"/>
      <c r="B39" s="311" t="s">
        <v>89</v>
      </c>
      <c r="C39" s="293"/>
      <c r="D39" s="172">
        <f>SUM(D30:D38)</f>
        <v>212</v>
      </c>
      <c r="E39" s="172">
        <v>212</v>
      </c>
      <c r="F39" s="172">
        <f>SUM(F30:F38)</f>
        <v>211.23</v>
      </c>
      <c r="G39" s="168"/>
      <c r="H39" s="169"/>
      <c r="I39" s="312"/>
      <c r="J39" s="312"/>
      <c r="K39" s="148"/>
      <c r="L39" s="310"/>
      <c r="M39" s="293"/>
      <c r="N39" s="178"/>
      <c r="O39" s="313"/>
      <c r="P39" s="305"/>
      <c r="Q39" s="178"/>
      <c r="R39" s="178"/>
      <c r="S39" s="178"/>
      <c r="T39" s="148"/>
      <c r="U39" s="120"/>
    </row>
    <row r="40" spans="1:21" ht="15" x14ac:dyDescent="0.2">
      <c r="A40" s="278" t="s">
        <v>67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314"/>
      <c r="R40" s="315"/>
      <c r="S40" s="315"/>
      <c r="T40" s="315"/>
      <c r="U40" s="179"/>
    </row>
    <row r="41" spans="1:21" ht="15" x14ac:dyDescent="0.2">
      <c r="A41" s="120"/>
      <c r="B41" s="316" t="s">
        <v>14</v>
      </c>
      <c r="C41" s="299"/>
      <c r="D41" s="299"/>
      <c r="E41" s="316" t="s">
        <v>36</v>
      </c>
      <c r="F41" s="317"/>
      <c r="G41" s="180"/>
      <c r="H41" s="181"/>
      <c r="I41" s="318"/>
      <c r="J41" s="318"/>
      <c r="K41" s="319"/>
      <c r="L41" s="318"/>
      <c r="M41" s="318"/>
      <c r="N41" s="318"/>
      <c r="O41" s="318"/>
      <c r="P41" s="182"/>
      <c r="Q41" s="183"/>
      <c r="R41" s="319"/>
      <c r="S41" s="320"/>
      <c r="T41" s="320"/>
      <c r="U41" s="120"/>
    </row>
    <row r="42" spans="1:21" ht="15" x14ac:dyDescent="0.2">
      <c r="A42" s="120"/>
      <c r="B42" s="321" t="s">
        <v>37</v>
      </c>
      <c r="C42" s="322"/>
      <c r="D42" s="323"/>
      <c r="E42" s="324">
        <v>22</v>
      </c>
      <c r="F42" s="325"/>
      <c r="G42" s="180"/>
      <c r="H42" s="181"/>
      <c r="I42" s="328"/>
      <c r="J42" s="328"/>
      <c r="K42" s="326"/>
      <c r="L42" s="327"/>
      <c r="M42" s="327"/>
      <c r="N42" s="327"/>
      <c r="O42" s="327"/>
      <c r="P42" s="182"/>
      <c r="Q42" s="184"/>
      <c r="R42" s="326"/>
      <c r="S42" s="327"/>
      <c r="T42" s="327"/>
      <c r="U42" s="120"/>
    </row>
    <row r="43" spans="1:21" ht="15" x14ac:dyDescent="0.2">
      <c r="A43" s="120"/>
      <c r="B43" s="321" t="s">
        <v>81</v>
      </c>
      <c r="C43" s="322"/>
      <c r="D43" s="323"/>
      <c r="E43" s="324">
        <v>5</v>
      </c>
      <c r="F43" s="325"/>
      <c r="G43" s="180"/>
      <c r="H43" s="181"/>
      <c r="I43" s="320"/>
      <c r="J43" s="320"/>
      <c r="K43" s="326"/>
      <c r="L43" s="327"/>
      <c r="M43" s="327"/>
      <c r="N43" s="327"/>
      <c r="O43" s="327"/>
      <c r="P43" s="182"/>
      <c r="Q43" s="184"/>
      <c r="R43" s="326"/>
      <c r="S43" s="327"/>
      <c r="T43" s="327"/>
      <c r="U43" s="120"/>
    </row>
    <row r="44" spans="1:21" ht="15" x14ac:dyDescent="0.2">
      <c r="A44" s="120"/>
      <c r="B44" s="321" t="s">
        <v>82</v>
      </c>
      <c r="C44" s="322"/>
      <c r="D44" s="323"/>
      <c r="E44" s="324">
        <v>24</v>
      </c>
      <c r="F44" s="329"/>
      <c r="G44" s="115"/>
      <c r="H44" s="181"/>
      <c r="I44" s="320"/>
      <c r="J44" s="320"/>
      <c r="K44" s="326"/>
      <c r="L44" s="327"/>
      <c r="M44" s="327"/>
      <c r="N44" s="327"/>
      <c r="O44" s="327"/>
      <c r="P44" s="182"/>
      <c r="Q44" s="184"/>
      <c r="R44" s="326"/>
      <c r="S44" s="327"/>
      <c r="T44" s="327"/>
      <c r="U44" s="120"/>
    </row>
    <row r="45" spans="1:21" ht="15" x14ac:dyDescent="0.2">
      <c r="A45" s="120"/>
      <c r="B45" s="321" t="s">
        <v>40</v>
      </c>
      <c r="C45" s="322"/>
      <c r="D45" s="323"/>
      <c r="E45" s="324">
        <f>SUM(E42:F44)</f>
        <v>51</v>
      </c>
      <c r="F45" s="329"/>
      <c r="G45" s="185"/>
      <c r="H45" s="186"/>
      <c r="I45" s="330"/>
      <c r="J45" s="330"/>
      <c r="K45" s="331"/>
      <c r="L45" s="332"/>
      <c r="M45" s="332"/>
      <c r="N45" s="332"/>
      <c r="O45" s="332"/>
      <c r="P45" s="187"/>
      <c r="Q45" s="188"/>
      <c r="R45" s="333"/>
      <c r="S45" s="332"/>
      <c r="T45" s="332"/>
      <c r="U45" s="120"/>
    </row>
    <row r="47" spans="1:21" x14ac:dyDescent="0.15">
      <c r="B47" s="190" t="s">
        <v>111</v>
      </c>
      <c r="C47" s="47" t="s">
        <v>113</v>
      </c>
    </row>
    <row r="48" spans="1:21" x14ac:dyDescent="0.15">
      <c r="B48" s="190" t="s">
        <v>112</v>
      </c>
      <c r="C48" s="47" t="s">
        <v>114</v>
      </c>
    </row>
  </sheetData>
  <mergeCells count="87">
    <mergeCell ref="B44:D44"/>
    <mergeCell ref="E44:F44"/>
    <mergeCell ref="I44:J44"/>
    <mergeCell ref="K44:O44"/>
    <mergeCell ref="R44:T44"/>
    <mergeCell ref="B45:D45"/>
    <mergeCell ref="E45:F45"/>
    <mergeCell ref="I45:J45"/>
    <mergeCell ref="K45:O45"/>
    <mergeCell ref="R45:T45"/>
    <mergeCell ref="B42:D42"/>
    <mergeCell ref="E42:F42"/>
    <mergeCell ref="I42:J42"/>
    <mergeCell ref="K42:O42"/>
    <mergeCell ref="R42:T42"/>
    <mergeCell ref="B43:D43"/>
    <mergeCell ref="E43:F43"/>
    <mergeCell ref="I43:J43"/>
    <mergeCell ref="K43:O43"/>
    <mergeCell ref="R43:T43"/>
    <mergeCell ref="A40:H40"/>
    <mergeCell ref="I40:P40"/>
    <mergeCell ref="Q40:T40"/>
    <mergeCell ref="B41:D41"/>
    <mergeCell ref="E41:F41"/>
    <mergeCell ref="I41:J41"/>
    <mergeCell ref="K41:O41"/>
    <mergeCell ref="R41:T41"/>
    <mergeCell ref="B38:C38"/>
    <mergeCell ref="I38:J38"/>
    <mergeCell ref="L38:M38"/>
    <mergeCell ref="O38:P38"/>
    <mergeCell ref="B39:C39"/>
    <mergeCell ref="I39:J39"/>
    <mergeCell ref="L39:M39"/>
    <mergeCell ref="O39:P39"/>
    <mergeCell ref="B36:C36"/>
    <mergeCell ref="I36:J36"/>
    <mergeCell ref="L36:M36"/>
    <mergeCell ref="O36:P36"/>
    <mergeCell ref="B37:C37"/>
    <mergeCell ref="I37:J37"/>
    <mergeCell ref="L37:M37"/>
    <mergeCell ref="O37:P37"/>
    <mergeCell ref="B34:C34"/>
    <mergeCell ref="I34:J34"/>
    <mergeCell ref="L34:M34"/>
    <mergeCell ref="O34:P34"/>
    <mergeCell ref="B35:C35"/>
    <mergeCell ref="I35:J35"/>
    <mergeCell ref="L35:M35"/>
    <mergeCell ref="O35:P35"/>
    <mergeCell ref="B32:C32"/>
    <mergeCell ref="I32:J32"/>
    <mergeCell ref="L32:M32"/>
    <mergeCell ref="O32:P32"/>
    <mergeCell ref="B33:C33"/>
    <mergeCell ref="I33:J33"/>
    <mergeCell ref="L33:M33"/>
    <mergeCell ref="O33:P33"/>
    <mergeCell ref="B31:C31"/>
    <mergeCell ref="I31:J31"/>
    <mergeCell ref="L31:M31"/>
    <mergeCell ref="O31:P31"/>
    <mergeCell ref="A28:H28"/>
    <mergeCell ref="I28:U28"/>
    <mergeCell ref="B29:C29"/>
    <mergeCell ref="I29:J29"/>
    <mergeCell ref="L29:M29"/>
    <mergeCell ref="O29:P29"/>
    <mergeCell ref="B30:C30"/>
    <mergeCell ref="I30:J30"/>
    <mergeCell ref="L30:M30"/>
    <mergeCell ref="O30:P30"/>
    <mergeCell ref="A27:T27"/>
    <mergeCell ref="A1:U1"/>
    <mergeCell ref="A2:U2"/>
    <mergeCell ref="A4:U4"/>
    <mergeCell ref="A6:U6"/>
    <mergeCell ref="B8:C8"/>
    <mergeCell ref="B15:C15"/>
    <mergeCell ref="B16:C16"/>
    <mergeCell ref="B17:O17"/>
    <mergeCell ref="Q17:T17"/>
    <mergeCell ref="Q18:R18"/>
    <mergeCell ref="D8:J8"/>
    <mergeCell ref="K8:O8"/>
  </mergeCells>
  <pageMargins left="0.7" right="0.7" top="0.75" bottom="0.75" header="0.3" footer="0.3"/>
  <pageSetup scale="51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14-15</vt:lpstr>
      <vt:lpstr>15-16</vt:lpstr>
      <vt:lpstr>16-17</vt:lpstr>
      <vt:lpstr>17-18</vt:lpstr>
      <vt:lpstr>'14-15'!Print_Area</vt:lpstr>
      <vt:lpstr>'15-16'!Print_Area</vt:lpstr>
      <vt:lpstr>'16-17'!Print_Area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</dc:creator>
  <cp:lastModifiedBy>Microsoft Office User</cp:lastModifiedBy>
  <cp:lastPrinted>2018-02-23T22:34:45Z</cp:lastPrinted>
  <dcterms:created xsi:type="dcterms:W3CDTF">2014-01-07T23:06:06Z</dcterms:created>
  <dcterms:modified xsi:type="dcterms:W3CDTF">2018-02-23T23:24:08Z</dcterms:modified>
</cp:coreProperties>
</file>